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codeName="ThisWorkbook" defaultThemeVersion="124226"/>
  <mc:AlternateContent xmlns:mc="http://schemas.openxmlformats.org/markup-compatibility/2006">
    <mc:Choice Requires="x15">
      <x15ac:absPath xmlns:x15ac="http://schemas.microsoft.com/office/spreadsheetml/2010/11/ac" url="V:\dsden61\ien\circos\circo-ec-inclusive\IEN-ALENCON1-2-ash\3- CDO\CDO 2025-2026\Constitution du DOSSIER\Orientation\"/>
    </mc:Choice>
  </mc:AlternateContent>
  <xr:revisionPtr revIDLastSave="0" documentId="8_{4F1429A2-C911-4044-8E39-3CCE784369A3}" xr6:coauthVersionLast="47" xr6:coauthVersionMax="47" xr10:uidLastSave="{00000000-0000-0000-0000-000000000000}"/>
  <workbookProtection workbookPassword="C880" lockStructure="1"/>
  <bookViews>
    <workbookView xWindow="-120" yWindow="-120" windowWidth="29040" windowHeight="15720" tabRatio="691" activeTab="1" xr2:uid="{00000000-000D-0000-FFFF-FFFF00000000}"/>
  </bookViews>
  <sheets>
    <sheet name="Liste élèves" sheetId="1" r:id="rId1"/>
    <sheet name="Saisie résultats" sheetId="2" r:id="rId2"/>
    <sheet name="FRA Synthèse élève" sheetId="4" r:id="rId3"/>
    <sheet name="MATH Synthèse élève" sheetId="5" r:id="rId4"/>
  </sheets>
  <definedNames>
    <definedName name="echantillon">'Liste élèves'!$C$9:$D$18</definedName>
    <definedName name="Liste">'Liste élèves'!$C$9:$D$18</definedName>
    <definedName name="_xlnm.Print_Area" localSheetId="2">'FRA Synthèse élève'!$C$1:$O$72</definedName>
    <definedName name="_xlnm.Print_Area" localSheetId="0">'Liste élèves'!$A$1:$H$19</definedName>
    <definedName name="_xlnm.Print_Area" localSheetId="3">'MATH Synthèse élève'!$C$1:$P$76</definedName>
    <definedName name="_xlnm.Print_Area" localSheetId="1">'Saisie résultats'!$A$2:$ER$26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Q13" i="2" l="1"/>
  <c r="C10" i="2" l="1"/>
  <c r="ER10" i="2"/>
  <c r="ER11" i="2"/>
  <c r="ER12" i="2"/>
  <c r="ER13" i="2"/>
  <c r="ER14" i="2"/>
  <c r="ER15" i="2"/>
  <c r="ER16" i="2"/>
  <c r="ER17" i="2"/>
  <c r="ER18" i="2"/>
  <c r="ER9" i="2"/>
  <c r="EQ9" i="2"/>
  <c r="BU23" i="2"/>
  <c r="BV23" i="2"/>
  <c r="BW23" i="2"/>
  <c r="BX23" i="2"/>
  <c r="BY23" i="2"/>
  <c r="BZ23" i="2"/>
  <c r="CA23" i="2"/>
  <c r="CB23" i="2"/>
  <c r="CC23" i="2"/>
  <c r="CD23" i="2"/>
  <c r="CE23" i="2"/>
  <c r="CF23" i="2"/>
  <c r="CG23" i="2"/>
  <c r="CH23" i="2"/>
  <c r="CI23" i="2"/>
  <c r="CJ23" i="2"/>
  <c r="CK23" i="2"/>
  <c r="CL23" i="2"/>
  <c r="CM23" i="2"/>
  <c r="CN23" i="2"/>
  <c r="CO23" i="2"/>
  <c r="CP23" i="2"/>
  <c r="CQ23" i="2"/>
  <c r="CR23" i="2"/>
  <c r="CS23" i="2"/>
  <c r="CT23" i="2"/>
  <c r="CU23" i="2"/>
  <c r="CV23" i="2"/>
  <c r="CW23" i="2"/>
  <c r="CX23" i="2"/>
  <c r="CY23" i="2"/>
  <c r="CZ23" i="2"/>
  <c r="DA23" i="2"/>
  <c r="DB23" i="2"/>
  <c r="DC23" i="2"/>
  <c r="DD23" i="2"/>
  <c r="DE23" i="2"/>
  <c r="DF23" i="2"/>
  <c r="DG23" i="2"/>
  <c r="DH23" i="2"/>
  <c r="DI23" i="2"/>
  <c r="DJ23" i="2"/>
  <c r="DK23" i="2"/>
  <c r="DL23" i="2"/>
  <c r="DM23" i="2"/>
  <c r="DN23" i="2"/>
  <c r="DO23" i="2"/>
  <c r="DP23" i="2"/>
  <c r="DQ23" i="2"/>
  <c r="DR23" i="2"/>
  <c r="DS23" i="2"/>
  <c r="DT23" i="2"/>
  <c r="DU23" i="2"/>
  <c r="DV23" i="2"/>
  <c r="DW23" i="2"/>
  <c r="DX23" i="2"/>
  <c r="DY23" i="2"/>
  <c r="DZ23" i="2"/>
  <c r="EA23" i="2"/>
  <c r="EB23" i="2"/>
  <c r="EC23" i="2"/>
  <c r="ED23" i="2"/>
  <c r="EE23" i="2"/>
  <c r="EF23" i="2"/>
  <c r="EG23" i="2"/>
  <c r="EH23" i="2"/>
  <c r="EI23" i="2"/>
  <c r="EJ23" i="2"/>
  <c r="EK23" i="2"/>
  <c r="EL23" i="2"/>
  <c r="EM23" i="2"/>
  <c r="EN23" i="2"/>
  <c r="EO23" i="2"/>
  <c r="BU22" i="2"/>
  <c r="BV22" i="2"/>
  <c r="BW22" i="2"/>
  <c r="BX22" i="2"/>
  <c r="BY22" i="2"/>
  <c r="BZ22" i="2"/>
  <c r="CA22" i="2"/>
  <c r="CB22" i="2"/>
  <c r="CC22" i="2"/>
  <c r="CD22" i="2"/>
  <c r="CE22" i="2"/>
  <c r="CF22" i="2"/>
  <c r="CG22" i="2"/>
  <c r="CH22" i="2"/>
  <c r="CI22" i="2"/>
  <c r="CJ22" i="2"/>
  <c r="CK22" i="2"/>
  <c r="CL22" i="2"/>
  <c r="CM22" i="2"/>
  <c r="CN22" i="2"/>
  <c r="CO22" i="2"/>
  <c r="CP22" i="2"/>
  <c r="CQ22" i="2"/>
  <c r="CR22" i="2"/>
  <c r="CS22" i="2"/>
  <c r="CT22" i="2"/>
  <c r="CU22" i="2"/>
  <c r="CV22" i="2"/>
  <c r="CW22" i="2"/>
  <c r="CX22" i="2"/>
  <c r="CY22" i="2"/>
  <c r="CZ22" i="2"/>
  <c r="DA22" i="2"/>
  <c r="DB22" i="2"/>
  <c r="DC22" i="2"/>
  <c r="DD22" i="2"/>
  <c r="DE22" i="2"/>
  <c r="DF22" i="2"/>
  <c r="DG22" i="2"/>
  <c r="DH22" i="2"/>
  <c r="DI22" i="2"/>
  <c r="DJ22" i="2"/>
  <c r="DK22" i="2"/>
  <c r="DL22" i="2"/>
  <c r="DM22" i="2"/>
  <c r="DN22" i="2"/>
  <c r="DO22" i="2"/>
  <c r="DP22" i="2"/>
  <c r="DQ22" i="2"/>
  <c r="DR22" i="2"/>
  <c r="DS22" i="2"/>
  <c r="DT22" i="2"/>
  <c r="DU22" i="2"/>
  <c r="DV22" i="2"/>
  <c r="DW22" i="2"/>
  <c r="DX22" i="2"/>
  <c r="DY22" i="2"/>
  <c r="DZ22" i="2"/>
  <c r="EA22" i="2"/>
  <c r="EB22" i="2"/>
  <c r="EC22" i="2"/>
  <c r="ED22" i="2"/>
  <c r="EE22" i="2"/>
  <c r="EF22" i="2"/>
  <c r="EG22" i="2"/>
  <c r="EH22" i="2"/>
  <c r="EI22" i="2"/>
  <c r="EJ22" i="2"/>
  <c r="EK22" i="2"/>
  <c r="EL22" i="2"/>
  <c r="EM22" i="2"/>
  <c r="EN22" i="2"/>
  <c r="EO22" i="2"/>
  <c r="BU21" i="2"/>
  <c r="BV21" i="2"/>
  <c r="BW21" i="2"/>
  <c r="BX21" i="2"/>
  <c r="BY21" i="2"/>
  <c r="BZ21" i="2"/>
  <c r="CA21" i="2"/>
  <c r="CB21" i="2"/>
  <c r="CC21" i="2"/>
  <c r="CD21" i="2"/>
  <c r="CE21" i="2"/>
  <c r="CF21" i="2"/>
  <c r="CG21" i="2"/>
  <c r="CH21" i="2"/>
  <c r="CI21" i="2"/>
  <c r="CJ21" i="2"/>
  <c r="CK21" i="2"/>
  <c r="CL21" i="2"/>
  <c r="CM21" i="2"/>
  <c r="CN21" i="2"/>
  <c r="CO21" i="2"/>
  <c r="CP21" i="2"/>
  <c r="CQ21" i="2"/>
  <c r="CR21" i="2"/>
  <c r="CS21" i="2"/>
  <c r="CT21" i="2"/>
  <c r="CU21" i="2"/>
  <c r="CV21" i="2"/>
  <c r="CW21" i="2"/>
  <c r="CX21" i="2"/>
  <c r="CY21" i="2"/>
  <c r="CZ21" i="2"/>
  <c r="DA21" i="2"/>
  <c r="DB21" i="2"/>
  <c r="DC21" i="2"/>
  <c r="DD21" i="2"/>
  <c r="DE21" i="2"/>
  <c r="DF21" i="2"/>
  <c r="DG21" i="2"/>
  <c r="DH21" i="2"/>
  <c r="DI21" i="2"/>
  <c r="DJ21" i="2"/>
  <c r="DK21" i="2"/>
  <c r="DL21" i="2"/>
  <c r="DM21" i="2"/>
  <c r="DN21" i="2"/>
  <c r="DO21" i="2"/>
  <c r="DP21" i="2"/>
  <c r="DQ21" i="2"/>
  <c r="DR21" i="2"/>
  <c r="DS21" i="2"/>
  <c r="DT21" i="2"/>
  <c r="DU21" i="2"/>
  <c r="DV21" i="2"/>
  <c r="DW21" i="2"/>
  <c r="DX21" i="2"/>
  <c r="DY21" i="2"/>
  <c r="DZ21" i="2"/>
  <c r="EA21" i="2"/>
  <c r="EB21" i="2"/>
  <c r="EC21" i="2"/>
  <c r="ED21" i="2"/>
  <c r="EE21" i="2"/>
  <c r="EF21" i="2"/>
  <c r="EG21" i="2"/>
  <c r="EH21" i="2"/>
  <c r="EI21" i="2"/>
  <c r="EJ21" i="2"/>
  <c r="EK21" i="2"/>
  <c r="EL21" i="2"/>
  <c r="EM21" i="2"/>
  <c r="EN21" i="2"/>
  <c r="EO21" i="2"/>
  <c r="BV20" i="2"/>
  <c r="BW20" i="2"/>
  <c r="BX20" i="2"/>
  <c r="BY20" i="2"/>
  <c r="BZ20" i="2"/>
  <c r="CA20" i="2"/>
  <c r="CB20" i="2"/>
  <c r="CC20" i="2"/>
  <c r="CD20" i="2"/>
  <c r="CE20" i="2"/>
  <c r="CF20" i="2"/>
  <c r="CG20" i="2"/>
  <c r="CH20" i="2"/>
  <c r="CI20" i="2"/>
  <c r="CJ20" i="2"/>
  <c r="CK20" i="2"/>
  <c r="CL20" i="2"/>
  <c r="CM20" i="2"/>
  <c r="CN20" i="2"/>
  <c r="CO20" i="2"/>
  <c r="CP20" i="2"/>
  <c r="CQ20" i="2"/>
  <c r="CR20" i="2"/>
  <c r="CS20" i="2"/>
  <c r="CT20" i="2"/>
  <c r="CU20" i="2"/>
  <c r="CV20" i="2"/>
  <c r="CW20" i="2"/>
  <c r="CX20" i="2"/>
  <c r="CY20" i="2"/>
  <c r="CZ20" i="2"/>
  <c r="DA20" i="2"/>
  <c r="DB20" i="2"/>
  <c r="DC20" i="2"/>
  <c r="DD20" i="2"/>
  <c r="DE20" i="2"/>
  <c r="DF20" i="2"/>
  <c r="DG20" i="2"/>
  <c r="DH20" i="2"/>
  <c r="DI20" i="2"/>
  <c r="DJ20" i="2"/>
  <c r="DK20" i="2"/>
  <c r="DL20" i="2"/>
  <c r="DM20" i="2"/>
  <c r="DN20" i="2"/>
  <c r="DO20" i="2"/>
  <c r="DP20" i="2"/>
  <c r="DQ20" i="2"/>
  <c r="DR20" i="2"/>
  <c r="DS20" i="2"/>
  <c r="DT20" i="2"/>
  <c r="DU20" i="2"/>
  <c r="DV20" i="2"/>
  <c r="DW20" i="2"/>
  <c r="DX20" i="2"/>
  <c r="DY20" i="2"/>
  <c r="DZ20" i="2"/>
  <c r="EA20" i="2"/>
  <c r="EB20" i="2"/>
  <c r="EC20" i="2"/>
  <c r="ED20" i="2"/>
  <c r="EE20" i="2"/>
  <c r="EF20" i="2"/>
  <c r="EG20" i="2"/>
  <c r="EH20" i="2"/>
  <c r="EI20" i="2"/>
  <c r="EJ20" i="2"/>
  <c r="EK20" i="2"/>
  <c r="EL20" i="2"/>
  <c r="EM20" i="2"/>
  <c r="EN20" i="2"/>
  <c r="EO20" i="2"/>
  <c r="BU20" i="2"/>
  <c r="I12" i="5"/>
  <c r="I11" i="5"/>
  <c r="I10" i="5"/>
  <c r="I9" i="5"/>
  <c r="I8" i="5"/>
  <c r="I7" i="5"/>
  <c r="I6" i="5"/>
  <c r="I5" i="5"/>
  <c r="I4" i="5"/>
  <c r="I3" i="5"/>
  <c r="C3" i="5"/>
  <c r="DJ25" i="2" l="1"/>
  <c r="DF25" i="2"/>
  <c r="CT25" i="2"/>
  <c r="CH25" i="2"/>
  <c r="EK25" i="2"/>
  <c r="EG25" i="2"/>
  <c r="DY25" i="2"/>
  <c r="DM25" i="2"/>
  <c r="DE25" i="2"/>
  <c r="DA25" i="2"/>
  <c r="CW25" i="2"/>
  <c r="CS25" i="2"/>
  <c r="CO25" i="2"/>
  <c r="EM25" i="2"/>
  <c r="CQ25" i="2"/>
  <c r="EJ25" i="2"/>
  <c r="ED25" i="2"/>
  <c r="DU25" i="2"/>
  <c r="DP25" i="2"/>
  <c r="DO25" i="2"/>
  <c r="DG25" i="2"/>
  <c r="DB25" i="2"/>
  <c r="CD25" i="2"/>
  <c r="BZ25" i="2"/>
  <c r="BW25" i="2"/>
  <c r="EO25" i="2"/>
  <c r="EI25" i="2"/>
  <c r="EF25" i="2"/>
  <c r="EE25" i="2"/>
  <c r="EA25" i="2"/>
  <c r="DW25" i="2"/>
  <c r="DS25" i="2"/>
  <c r="DK25" i="2"/>
  <c r="DD25" i="2"/>
  <c r="DC25" i="2"/>
  <c r="CZ25" i="2"/>
  <c r="CY25" i="2"/>
  <c r="CU25" i="2"/>
  <c r="CM25" i="2"/>
  <c r="CJ25" i="2"/>
  <c r="CI25" i="2"/>
  <c r="CG25" i="2"/>
  <c r="CE25" i="2"/>
  <c r="CA25" i="2"/>
  <c r="BY25" i="2"/>
  <c r="BX25" i="2"/>
  <c r="EN25" i="2"/>
  <c r="EL25" i="2"/>
  <c r="EH25" i="2"/>
  <c r="EC25" i="2"/>
  <c r="EB25" i="2"/>
  <c r="DZ25" i="2"/>
  <c r="DX25" i="2"/>
  <c r="DV25" i="2"/>
  <c r="DT25" i="2"/>
  <c r="DR25" i="2"/>
  <c r="DQ25" i="2"/>
  <c r="DN25" i="2"/>
  <c r="DL25" i="2"/>
  <c r="DI25" i="2"/>
  <c r="DH25" i="2"/>
  <c r="CX25" i="2"/>
  <c r="CV25" i="2"/>
  <c r="CR25" i="2"/>
  <c r="CP25" i="2"/>
  <c r="CN25" i="2"/>
  <c r="CL25" i="2"/>
  <c r="CK25" i="2"/>
  <c r="CF25" i="2"/>
  <c r="CC25" i="2"/>
  <c r="CB25" i="2"/>
  <c r="BV25" i="2"/>
  <c r="BU25" i="2"/>
  <c r="I3" i="4"/>
  <c r="C11" i="2"/>
  <c r="C12" i="2"/>
  <c r="C13" i="2"/>
  <c r="C14" i="2"/>
  <c r="C15" i="2"/>
  <c r="C16" i="2"/>
  <c r="C17" i="2"/>
  <c r="C18" i="2"/>
  <c r="C9" i="2"/>
  <c r="I4" i="4"/>
  <c r="I5" i="4"/>
  <c r="I6" i="4"/>
  <c r="I7" i="4"/>
  <c r="I8" i="4"/>
  <c r="I9" i="4"/>
  <c r="I10" i="4"/>
  <c r="I11" i="4"/>
  <c r="I12" i="4"/>
  <c r="E64" i="5" l="1"/>
  <c r="E60" i="5"/>
  <c r="E56" i="5"/>
  <c r="E74" i="5"/>
  <c r="E47" i="5"/>
  <c r="E43" i="5"/>
  <c r="E70" i="5"/>
  <c r="E66" i="5"/>
  <c r="E37" i="5"/>
  <c r="E33" i="5"/>
  <c r="E29" i="5"/>
  <c r="E52" i="5"/>
  <c r="E48" i="5"/>
  <c r="E24" i="5"/>
  <c r="E20" i="5"/>
  <c r="E16" i="5"/>
  <c r="E12" i="5"/>
  <c r="E8" i="5"/>
  <c r="E4" i="5"/>
  <c r="E58" i="5"/>
  <c r="E45" i="5"/>
  <c r="E68" i="5"/>
  <c r="E35" i="5"/>
  <c r="E54" i="5"/>
  <c r="E26" i="5"/>
  <c r="E18" i="5"/>
  <c r="E10" i="5"/>
  <c r="E63" i="5"/>
  <c r="E55" i="5"/>
  <c r="E46" i="5"/>
  <c r="E69" i="5"/>
  <c r="E36" i="5"/>
  <c r="E28" i="5"/>
  <c r="E27" i="5"/>
  <c r="E19" i="5"/>
  <c r="E11" i="5"/>
  <c r="E61" i="5"/>
  <c r="E57" i="5"/>
  <c r="E75" i="5"/>
  <c r="E71" i="5"/>
  <c r="E44" i="5"/>
  <c r="E40" i="5"/>
  <c r="E67" i="5"/>
  <c r="E38" i="5"/>
  <c r="E34" i="5"/>
  <c r="E30" i="5"/>
  <c r="E53" i="5"/>
  <c r="E49" i="5"/>
  <c r="E25" i="5"/>
  <c r="E21" i="5"/>
  <c r="E17" i="5"/>
  <c r="E13" i="5"/>
  <c r="E9" i="5"/>
  <c r="E5" i="5"/>
  <c r="E62" i="5"/>
  <c r="E76" i="5"/>
  <c r="E72" i="5"/>
  <c r="E41" i="5"/>
  <c r="E39" i="5"/>
  <c r="E31" i="5"/>
  <c r="E50" i="5"/>
  <c r="E22" i="5"/>
  <c r="E14" i="5"/>
  <c r="E6" i="5"/>
  <c r="E59" i="5"/>
  <c r="E73" i="5"/>
  <c r="E42" i="5"/>
  <c r="E65" i="5"/>
  <c r="E32" i="5"/>
  <c r="E51" i="5"/>
  <c r="E23" i="5"/>
  <c r="E15" i="5"/>
  <c r="E7" i="5"/>
  <c r="E70" i="4"/>
  <c r="E66" i="4"/>
  <c r="E62" i="4"/>
  <c r="E58" i="4"/>
  <c r="E54" i="4"/>
  <c r="E50" i="4"/>
  <c r="E46" i="4"/>
  <c r="E42" i="4"/>
  <c r="E38" i="4"/>
  <c r="E34" i="4"/>
  <c r="E30" i="4"/>
  <c r="E26" i="4"/>
  <c r="E22" i="4"/>
  <c r="E18" i="4"/>
  <c r="E14" i="4"/>
  <c r="E10" i="4"/>
  <c r="E6" i="4"/>
  <c r="E71" i="4"/>
  <c r="E63" i="4"/>
  <c r="E55" i="4"/>
  <c r="E47" i="4"/>
  <c r="E39" i="4"/>
  <c r="E31" i="4"/>
  <c r="E23" i="4"/>
  <c r="E15" i="4"/>
  <c r="E7" i="4"/>
  <c r="E72" i="4"/>
  <c r="E64" i="4"/>
  <c r="E56" i="4"/>
  <c r="E48" i="4"/>
  <c r="E40" i="4"/>
  <c r="E32" i="4"/>
  <c r="E24" i="4"/>
  <c r="E16" i="4"/>
  <c r="E8" i="4"/>
  <c r="E69" i="4"/>
  <c r="E65" i="4"/>
  <c r="E61" i="4"/>
  <c r="E57" i="4"/>
  <c r="E53" i="4"/>
  <c r="E49" i="4"/>
  <c r="E45" i="4"/>
  <c r="E41" i="4"/>
  <c r="E37" i="4"/>
  <c r="E33" i="4"/>
  <c r="E29" i="4"/>
  <c r="E25" i="4"/>
  <c r="E21" i="4"/>
  <c r="E17" i="4"/>
  <c r="E13" i="4"/>
  <c r="E9" i="4"/>
  <c r="E5" i="4"/>
  <c r="E67" i="4"/>
  <c r="E59" i="4"/>
  <c r="E51" i="4"/>
  <c r="E43" i="4"/>
  <c r="E35" i="4"/>
  <c r="E27" i="4"/>
  <c r="E19" i="4"/>
  <c r="E11" i="4"/>
  <c r="E68" i="4"/>
  <c r="E60" i="4"/>
  <c r="E52" i="4"/>
  <c r="E44" i="4"/>
  <c r="E36" i="4"/>
  <c r="E28" i="4"/>
  <c r="E20" i="4"/>
  <c r="E12" i="4"/>
  <c r="E4" i="4"/>
  <c r="EQ10" i="2"/>
  <c r="EQ11" i="2"/>
  <c r="EQ12" i="2"/>
  <c r="EQ14" i="2"/>
  <c r="EQ15" i="2"/>
  <c r="EQ16" i="2"/>
  <c r="EQ17" i="2"/>
  <c r="EQ18" i="2"/>
  <c r="X23" i="2"/>
  <c r="Y23" i="2"/>
  <c r="Z23" i="2"/>
  <c r="AA23" i="2"/>
  <c r="AB23" i="2"/>
  <c r="AC23" i="2"/>
  <c r="AD23" i="2"/>
  <c r="AE23" i="2"/>
  <c r="AF23" i="2"/>
  <c r="AG23" i="2"/>
  <c r="AH23" i="2"/>
  <c r="AI23" i="2"/>
  <c r="AJ23" i="2"/>
  <c r="AK23" i="2"/>
  <c r="AL23" i="2"/>
  <c r="AM23" i="2"/>
  <c r="AN23" i="2"/>
  <c r="AO23" i="2"/>
  <c r="AP23" i="2"/>
  <c r="AQ23" i="2"/>
  <c r="AR23" i="2"/>
  <c r="AS23" i="2"/>
  <c r="AT23" i="2"/>
  <c r="AU23" i="2"/>
  <c r="AV23" i="2"/>
  <c r="AW23" i="2"/>
  <c r="AX23" i="2"/>
  <c r="AY23" i="2"/>
  <c r="AZ23" i="2"/>
  <c r="BA23" i="2"/>
  <c r="BB23" i="2"/>
  <c r="BC23" i="2"/>
  <c r="BD23" i="2"/>
  <c r="BE23" i="2"/>
  <c r="BF23" i="2"/>
  <c r="BG23" i="2"/>
  <c r="BH23" i="2"/>
  <c r="BI23" i="2"/>
  <c r="BJ23" i="2"/>
  <c r="BK23" i="2"/>
  <c r="BL23" i="2"/>
  <c r="BM23" i="2"/>
  <c r="BN23" i="2"/>
  <c r="BO23" i="2"/>
  <c r="BP23" i="2"/>
  <c r="X22" i="2"/>
  <c r="Y22" i="2"/>
  <c r="Z22" i="2"/>
  <c r="AA22" i="2"/>
  <c r="AB22" i="2"/>
  <c r="AC22" i="2"/>
  <c r="AD22" i="2"/>
  <c r="AE22" i="2"/>
  <c r="AF22" i="2"/>
  <c r="AG22" i="2"/>
  <c r="AH22" i="2"/>
  <c r="AI22" i="2"/>
  <c r="AJ22" i="2"/>
  <c r="AK22" i="2"/>
  <c r="AL22" i="2"/>
  <c r="AM22" i="2"/>
  <c r="AN22" i="2"/>
  <c r="AO22" i="2"/>
  <c r="AP22" i="2"/>
  <c r="AQ22" i="2"/>
  <c r="AR22" i="2"/>
  <c r="AS22" i="2"/>
  <c r="AT22" i="2"/>
  <c r="AU22" i="2"/>
  <c r="AV22" i="2"/>
  <c r="AW22" i="2"/>
  <c r="AX22" i="2"/>
  <c r="AY22" i="2"/>
  <c r="AZ22" i="2"/>
  <c r="BA22" i="2"/>
  <c r="BB22" i="2"/>
  <c r="BC22" i="2"/>
  <c r="BD22" i="2"/>
  <c r="BE22" i="2"/>
  <c r="BF22" i="2"/>
  <c r="BG22" i="2"/>
  <c r="BH22" i="2"/>
  <c r="BI22" i="2"/>
  <c r="BJ22" i="2"/>
  <c r="BK22" i="2"/>
  <c r="BL22" i="2"/>
  <c r="BM22" i="2"/>
  <c r="BN22" i="2"/>
  <c r="BO22" i="2"/>
  <c r="BP22" i="2"/>
  <c r="X21" i="2"/>
  <c r="Y21" i="2"/>
  <c r="Z21" i="2"/>
  <c r="AA21" i="2"/>
  <c r="AB21" i="2"/>
  <c r="AC21" i="2"/>
  <c r="AD21" i="2"/>
  <c r="AE21" i="2"/>
  <c r="AF21" i="2"/>
  <c r="AG21" i="2"/>
  <c r="AH21" i="2"/>
  <c r="AI21" i="2"/>
  <c r="AJ21" i="2"/>
  <c r="AK21" i="2"/>
  <c r="AL21" i="2"/>
  <c r="AM21" i="2"/>
  <c r="AN21" i="2"/>
  <c r="AO21" i="2"/>
  <c r="AP21" i="2"/>
  <c r="AQ21" i="2"/>
  <c r="AR21" i="2"/>
  <c r="AS21" i="2"/>
  <c r="AT21" i="2"/>
  <c r="AU21" i="2"/>
  <c r="AV21" i="2"/>
  <c r="AW21" i="2"/>
  <c r="AX21" i="2"/>
  <c r="AY21" i="2"/>
  <c r="AZ21" i="2"/>
  <c r="BA21" i="2"/>
  <c r="BB21" i="2"/>
  <c r="BC21" i="2"/>
  <c r="BD21" i="2"/>
  <c r="BE21" i="2"/>
  <c r="BF21" i="2"/>
  <c r="BG21" i="2"/>
  <c r="BH21" i="2"/>
  <c r="BI21" i="2"/>
  <c r="BJ21" i="2"/>
  <c r="BK21" i="2"/>
  <c r="BL21" i="2"/>
  <c r="BM21" i="2"/>
  <c r="BN21" i="2"/>
  <c r="BO21" i="2"/>
  <c r="BP21" i="2"/>
  <c r="Y20" i="2"/>
  <c r="Z20" i="2"/>
  <c r="AA20" i="2"/>
  <c r="AB20" i="2"/>
  <c r="AC20" i="2"/>
  <c r="AD20" i="2"/>
  <c r="AE20" i="2"/>
  <c r="AF20" i="2"/>
  <c r="AG20" i="2"/>
  <c r="AH20" i="2"/>
  <c r="AI20" i="2"/>
  <c r="AJ20" i="2"/>
  <c r="AK20" i="2"/>
  <c r="AL20" i="2"/>
  <c r="AM20" i="2"/>
  <c r="AN20" i="2"/>
  <c r="AO20" i="2"/>
  <c r="AP20" i="2"/>
  <c r="AQ20" i="2"/>
  <c r="AR20" i="2"/>
  <c r="AS20" i="2"/>
  <c r="AT20" i="2"/>
  <c r="AU20" i="2"/>
  <c r="AV20" i="2"/>
  <c r="AW20" i="2"/>
  <c r="AX20" i="2"/>
  <c r="AY20" i="2"/>
  <c r="AZ20" i="2"/>
  <c r="BA20" i="2"/>
  <c r="BB20" i="2"/>
  <c r="BC20" i="2"/>
  <c r="BD20" i="2"/>
  <c r="BE20" i="2"/>
  <c r="BF20" i="2"/>
  <c r="BG20" i="2"/>
  <c r="BH20" i="2"/>
  <c r="BI20" i="2"/>
  <c r="BJ20" i="2"/>
  <c r="BK20" i="2"/>
  <c r="BL20" i="2"/>
  <c r="BM20" i="2"/>
  <c r="BN20" i="2"/>
  <c r="BO20" i="2"/>
  <c r="BP20" i="2"/>
  <c r="X20" i="2"/>
  <c r="C3" i="4"/>
  <c r="E23" i="2"/>
  <c r="F23" i="2"/>
  <c r="G23" i="2"/>
  <c r="H23" i="2"/>
  <c r="I23" i="2"/>
  <c r="J23" i="2"/>
  <c r="K23" i="2"/>
  <c r="L23" i="2"/>
  <c r="M23" i="2"/>
  <c r="N23" i="2"/>
  <c r="O23" i="2"/>
  <c r="P23" i="2"/>
  <c r="Q23" i="2"/>
  <c r="R23" i="2"/>
  <c r="S23" i="2"/>
  <c r="T23" i="2"/>
  <c r="U23" i="2"/>
  <c r="V23" i="2"/>
  <c r="W23" i="2"/>
  <c r="BQ23" i="2"/>
  <c r="BR23" i="2"/>
  <c r="BS23" i="2"/>
  <c r="BT23" i="2"/>
  <c r="D23" i="2"/>
  <c r="E22" i="2"/>
  <c r="F22" i="2"/>
  <c r="G22" i="2"/>
  <c r="H22" i="2"/>
  <c r="I22" i="2"/>
  <c r="J22" i="2"/>
  <c r="K22" i="2"/>
  <c r="L22" i="2"/>
  <c r="M22" i="2"/>
  <c r="N22" i="2"/>
  <c r="O22" i="2"/>
  <c r="P22" i="2"/>
  <c r="Q22" i="2"/>
  <c r="R22" i="2"/>
  <c r="S22" i="2"/>
  <c r="T22" i="2"/>
  <c r="U22" i="2"/>
  <c r="V22" i="2"/>
  <c r="W22" i="2"/>
  <c r="BQ22" i="2"/>
  <c r="BR22" i="2"/>
  <c r="BS22" i="2"/>
  <c r="BT22" i="2"/>
  <c r="E21" i="2"/>
  <c r="F21" i="2"/>
  <c r="G21" i="2"/>
  <c r="H21" i="2"/>
  <c r="I21" i="2"/>
  <c r="J21" i="2"/>
  <c r="K21" i="2"/>
  <c r="L21" i="2"/>
  <c r="M21" i="2"/>
  <c r="N21" i="2"/>
  <c r="O21" i="2"/>
  <c r="P21" i="2"/>
  <c r="Q21" i="2"/>
  <c r="R21" i="2"/>
  <c r="S21" i="2"/>
  <c r="T21" i="2"/>
  <c r="U21" i="2"/>
  <c r="V21" i="2"/>
  <c r="W21" i="2"/>
  <c r="BQ21" i="2"/>
  <c r="BR21" i="2"/>
  <c r="BS21" i="2"/>
  <c r="BT21" i="2"/>
  <c r="E20" i="2"/>
  <c r="F20" i="2"/>
  <c r="G20" i="2"/>
  <c r="H20" i="2"/>
  <c r="I20" i="2"/>
  <c r="J20" i="2"/>
  <c r="K20" i="2"/>
  <c r="L20" i="2"/>
  <c r="M20" i="2"/>
  <c r="N20" i="2"/>
  <c r="O20" i="2"/>
  <c r="P20" i="2"/>
  <c r="Q20" i="2"/>
  <c r="R20" i="2"/>
  <c r="S20" i="2"/>
  <c r="T20" i="2"/>
  <c r="U20" i="2"/>
  <c r="V20" i="2"/>
  <c r="W20" i="2"/>
  <c r="BQ20" i="2"/>
  <c r="BR20" i="2"/>
  <c r="BS20" i="2"/>
  <c r="BT20" i="2"/>
  <c r="D22" i="2"/>
  <c r="D21" i="2"/>
  <c r="D20" i="2"/>
  <c r="J25" i="2" l="1"/>
  <c r="BQ25" i="2"/>
  <c r="U25" i="2"/>
  <c r="M25" i="2"/>
  <c r="I25" i="2"/>
  <c r="E25" i="2"/>
  <c r="AW25" i="2"/>
  <c r="AK25" i="2"/>
  <c r="AC25" i="2"/>
  <c r="AI25" i="2"/>
  <c r="AE25" i="2"/>
  <c r="BS25" i="2"/>
  <c r="F25" i="2"/>
  <c r="BT25" i="2"/>
  <c r="BD25" i="2"/>
  <c r="AB25" i="2"/>
  <c r="BB25" i="2"/>
  <c r="AT25" i="2"/>
  <c r="AP25" i="2"/>
  <c r="AH25" i="2"/>
  <c r="Z25" i="2"/>
  <c r="K25" i="2"/>
  <c r="BR25" i="2"/>
  <c r="BN25" i="2"/>
  <c r="BF25" i="2"/>
  <c r="AX25" i="2"/>
  <c r="AD25" i="2"/>
  <c r="BP25" i="2"/>
  <c r="BL25" i="2"/>
  <c r="BH25" i="2"/>
  <c r="AZ25" i="2"/>
  <c r="AV25" i="2"/>
  <c r="T25" i="2"/>
  <c r="P25" i="2"/>
  <c r="H25" i="2"/>
  <c r="W25" i="2"/>
  <c r="BK25" i="2"/>
  <c r="BC25" i="2"/>
  <c r="AU25" i="2"/>
  <c r="AM25" i="2"/>
  <c r="AA25" i="2"/>
  <c r="BA25" i="2"/>
  <c r="AS25" i="2"/>
  <c r="AG25" i="2"/>
  <c r="Y25" i="2"/>
  <c r="M5" i="5"/>
  <c r="F65" i="5"/>
  <c r="K5" i="5"/>
  <c r="G4" i="5"/>
  <c r="F4" i="5"/>
  <c r="F48" i="5"/>
  <c r="L5" i="5"/>
  <c r="BO25" i="2"/>
  <c r="BM25" i="2"/>
  <c r="BJ25" i="2"/>
  <c r="BI25" i="2"/>
  <c r="BG25" i="2"/>
  <c r="BE25" i="2"/>
  <c r="AY25" i="2"/>
  <c r="AR25" i="2"/>
  <c r="AQ25" i="2"/>
  <c r="AO25" i="2"/>
  <c r="AN25" i="2"/>
  <c r="AL25" i="2"/>
  <c r="AJ25" i="2"/>
  <c r="AF25" i="2"/>
  <c r="X25" i="2"/>
  <c r="V25" i="2"/>
  <c r="O25" i="2"/>
  <c r="N25" i="2"/>
  <c r="L25" i="2"/>
  <c r="S25" i="2"/>
  <c r="R25" i="2"/>
  <c r="Q25" i="2"/>
  <c r="F51" i="4"/>
  <c r="G25" i="2"/>
  <c r="F63" i="4"/>
  <c r="N5" i="4"/>
  <c r="F35" i="4"/>
  <c r="F4" i="4"/>
  <c r="G4" i="4"/>
  <c r="K5" i="4"/>
  <c r="M5" i="4"/>
  <c r="L5" i="4"/>
  <c r="D25" i="2"/>
</calcChain>
</file>

<file path=xl/sharedStrings.xml><?xml version="1.0" encoding="utf-8"?>
<sst xmlns="http://schemas.openxmlformats.org/spreadsheetml/2006/main" count="57" uniqueCount="48">
  <si>
    <t>Liste des élèves</t>
  </si>
  <si>
    <t>Ecole ou établissement:</t>
  </si>
  <si>
    <t>NOM ET PRENOM</t>
  </si>
  <si>
    <t>Elève3</t>
  </si>
  <si>
    <t>Elève4</t>
  </si>
  <si>
    <t>Elève5</t>
  </si>
  <si>
    <t>Elève6</t>
  </si>
  <si>
    <t>Elève7</t>
  </si>
  <si>
    <t>Elève8</t>
  </si>
  <si>
    <t>Elève9</t>
  </si>
  <si>
    <t>Elève10</t>
  </si>
  <si>
    <t>Saisie des codes</t>
  </si>
  <si>
    <t>Numéro de l'item</t>
  </si>
  <si>
    <t>Nom et prénom</t>
  </si>
  <si>
    <t>Code 1 : Réponse(s) attendue(s)</t>
  </si>
  <si>
    <t>Code 9 : Autre(s) réponse(s)</t>
  </si>
  <si>
    <t>Code 0 : Absence de réponse</t>
  </si>
  <si>
    <t>TOTAL REUSSITE (1)</t>
  </si>
  <si>
    <t>TOTAL AUTRE(S) REPONSE(S) (9)</t>
  </si>
  <si>
    <t>TOTAL ABSENCE DE REPONSE (0)</t>
  </si>
  <si>
    <t>NOMBRE DE REPONSES (1, 9, 0)</t>
  </si>
  <si>
    <t>SCORE DE REUSSITE : SR</t>
  </si>
  <si>
    <t>SR Fr</t>
  </si>
  <si>
    <t>SR Math</t>
  </si>
  <si>
    <t>Sélectionnez le nom de l'élève dans la liste ci-dessous.</t>
  </si>
  <si>
    <t>N°Item</t>
  </si>
  <si>
    <t>Résultat élève sur l'item</t>
  </si>
  <si>
    <t>SR</t>
  </si>
  <si>
    <t>Evaluation dossier CDO - Français</t>
  </si>
  <si>
    <t>Lecture et compréhension de l'écrit
31 items</t>
  </si>
  <si>
    <t>Écriture
16 items</t>
  </si>
  <si>
    <t>Etude de la langue
12 items</t>
  </si>
  <si>
    <t>Langage oral
10 items</t>
  </si>
  <si>
    <t>Lecture et compréhension de l'écrit</t>
  </si>
  <si>
    <t>Ecriture</t>
  </si>
  <si>
    <t>Etude de la langue</t>
  </si>
  <si>
    <t>Langage oral</t>
  </si>
  <si>
    <t>Grandeurs et mesures
17 items</t>
  </si>
  <si>
    <t>Espace et géométrie
12 items</t>
  </si>
  <si>
    <t>Nombres et calcul</t>
  </si>
  <si>
    <t>Nombres et calcul
44 items</t>
  </si>
  <si>
    <t>Grandeurs et mesures</t>
  </si>
  <si>
    <t>Espace et géométrie</t>
  </si>
  <si>
    <t>Elève1</t>
  </si>
  <si>
    <t>Français</t>
  </si>
  <si>
    <t>Mathématiques</t>
  </si>
  <si>
    <t>Evaluation dossier CDO - Mathématiques</t>
  </si>
  <si>
    <t>Elève2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</si>
</sst>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0"/>
      <name val="Calibri"/>
      <family val="2"/>
      <scheme val="minor"/>
    </font>
    <font>
      <sz val="22"/>
      <color theme="1"/>
      <name val="Calibri"/>
      <family val="2"/>
      <scheme val="minor"/>
    </font>
    <font>
      <sz val="14"/>
      <color theme="1"/>
      <name val="Calibri"/>
      <family val="2"/>
      <scheme val="minor"/>
    </font>
    <font>
      <b/>
      <sz val="14"/>
      <color theme="1"/>
      <name val="Calibri"/>
      <family val="2"/>
      <scheme val="minor"/>
    </font>
    <font>
      <sz val="11"/>
      <color indexed="8"/>
      <name val="Calibri"/>
      <family val="2"/>
    </font>
    <font>
      <sz val="8"/>
      <color indexed="8"/>
      <name val="Arial Narrow"/>
      <family val="2"/>
    </font>
    <font>
      <b/>
      <sz val="14"/>
      <color indexed="8"/>
      <name val="Arial"/>
      <family val="2"/>
    </font>
    <font>
      <sz val="8"/>
      <color indexed="8"/>
      <name val="Arial"/>
      <family val="2"/>
    </font>
    <font>
      <b/>
      <sz val="11"/>
      <color indexed="8"/>
      <name val="Calibri"/>
      <family val="2"/>
    </font>
    <font>
      <sz val="12"/>
      <color indexed="8"/>
      <name val="Arial Black"/>
      <family val="2"/>
    </font>
    <font>
      <b/>
      <i/>
      <sz val="8"/>
      <color indexed="8"/>
      <name val="Arial"/>
      <family val="2"/>
    </font>
    <font>
      <i/>
      <sz val="8"/>
      <color indexed="8"/>
      <name val="Arial"/>
      <family val="2"/>
    </font>
    <font>
      <sz val="11"/>
      <name val="Calibri"/>
      <family val="2"/>
    </font>
    <font>
      <b/>
      <sz val="12"/>
      <color indexed="8"/>
      <name val="Arial Black"/>
      <family val="2"/>
    </font>
    <font>
      <b/>
      <sz val="18"/>
      <color indexed="56"/>
      <name val="Cambria"/>
      <family val="2"/>
    </font>
    <font>
      <b/>
      <sz val="22"/>
      <color indexed="8"/>
      <name val="Arial"/>
      <family val="2"/>
    </font>
    <font>
      <b/>
      <sz val="22"/>
      <name val="Arial"/>
      <family val="2"/>
    </font>
    <font>
      <sz val="11"/>
      <name val="Calibri"/>
      <family val="2"/>
      <scheme val="minor"/>
    </font>
    <font>
      <sz val="8"/>
      <name val="Calibri"/>
      <family val="2"/>
    </font>
    <font>
      <sz val="9"/>
      <name val="Calibri"/>
      <family val="2"/>
    </font>
  </fonts>
  <fills count="12">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rgb="FFFFC000"/>
        <bgColor indexed="64"/>
      </patternFill>
    </fill>
    <fill>
      <patternFill patternType="solid">
        <fgColor rgb="FF00B0F0"/>
        <bgColor indexed="64"/>
      </patternFill>
    </fill>
    <fill>
      <patternFill patternType="solid">
        <fgColor rgb="FF0070C0"/>
        <bgColor indexed="64"/>
      </patternFill>
    </fill>
    <fill>
      <patternFill patternType="solid">
        <fgColor rgb="FFFFFF00"/>
        <bgColor indexed="64"/>
      </patternFill>
    </fill>
    <fill>
      <patternFill patternType="solid">
        <fgColor indexed="45"/>
        <bgColor indexed="64"/>
      </patternFill>
    </fill>
    <fill>
      <patternFill patternType="solid">
        <fgColor indexed="22"/>
        <bgColor indexed="31"/>
      </patternFill>
    </fill>
    <fill>
      <patternFill patternType="solid">
        <fgColor indexed="22"/>
        <bgColor indexed="64"/>
      </patternFill>
    </fill>
    <fill>
      <patternFill patternType="solid">
        <fgColor rgb="FFFF00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style="medium">
        <color indexed="8"/>
      </top>
      <bottom style="medium">
        <color indexed="8"/>
      </bottom>
      <diagonal/>
    </border>
    <border>
      <left/>
      <right style="medium">
        <color indexed="8"/>
      </right>
      <top style="medium">
        <color indexed="8"/>
      </top>
      <bottom/>
      <diagonal/>
    </border>
    <border>
      <left style="medium">
        <color indexed="8"/>
      </left>
      <right style="medium">
        <color indexed="8"/>
      </right>
      <top style="medium">
        <color indexed="8"/>
      </top>
      <bottom/>
      <diagonal/>
    </border>
    <border>
      <left/>
      <right style="medium">
        <color indexed="8"/>
      </right>
      <top/>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8"/>
      </top>
      <bottom style="medium">
        <color indexed="8"/>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5" fillId="0" borderId="0"/>
    <xf numFmtId="0" fontId="15" fillId="0" borderId="0" applyNumberFormat="0" applyFill="0" applyBorder="0" applyAlignment="0" applyProtection="0"/>
  </cellStyleXfs>
  <cellXfs count="83">
    <xf numFmtId="0" fontId="0" fillId="0" borderId="0" xfId="0"/>
    <xf numFmtId="0" fontId="0" fillId="0" borderId="0" xfId="0" applyAlignment="1">
      <alignment horizontal="left"/>
    </xf>
    <xf numFmtId="0" fontId="0" fillId="0" borderId="1" xfId="0" applyBorder="1" applyAlignment="1">
      <alignment horizontal="left"/>
    </xf>
    <xf numFmtId="0" fontId="0" fillId="2" borderId="1" xfId="0" applyFill="1" applyBorder="1" applyAlignment="1">
      <alignment horizontal="left" vertical="center"/>
    </xf>
    <xf numFmtId="0" fontId="0" fillId="0" borderId="0" xfId="0" applyAlignment="1">
      <alignment horizontal="center" vertical="center"/>
    </xf>
    <xf numFmtId="0" fontId="1" fillId="6" borderId="1" xfId="0" applyFont="1" applyFill="1" applyBorder="1" applyAlignment="1">
      <alignment horizontal="center" vertical="center"/>
    </xf>
    <xf numFmtId="0" fontId="3" fillId="0" borderId="0" xfId="0" applyFont="1" applyAlignment="1">
      <alignment horizontal="center" vertical="center"/>
    </xf>
    <xf numFmtId="9" fontId="0" fillId="0" borderId="1" xfId="0" applyNumberFormat="1" applyBorder="1" applyAlignment="1">
      <alignment horizontal="center" vertical="center" textRotation="90"/>
    </xf>
    <xf numFmtId="164" fontId="0" fillId="0" borderId="1" xfId="0" applyNumberFormat="1" applyBorder="1"/>
    <xf numFmtId="0" fontId="6" fillId="0" borderId="0" xfId="1" applyFont="1" applyBorder="1" applyAlignment="1">
      <alignment horizontal="center" vertical="center" wrapText="1"/>
    </xf>
    <xf numFmtId="0" fontId="5" fillId="0" borderId="0" xfId="1"/>
    <xf numFmtId="0" fontId="5" fillId="0" borderId="0" xfId="1" applyAlignment="1">
      <alignment horizontal="left" vertical="center" wrapText="1"/>
    </xf>
    <xf numFmtId="2" fontId="5" fillId="0" borderId="0" xfId="1" applyNumberFormat="1" applyAlignment="1">
      <alignment horizontal="center"/>
    </xf>
    <xf numFmtId="0" fontId="5" fillId="8" borderId="2" xfId="1" applyFill="1" applyBorder="1" applyAlignment="1">
      <alignment wrapText="1"/>
    </xf>
    <xf numFmtId="0" fontId="7" fillId="9" borderId="3" xfId="1" applyFont="1" applyFill="1" applyBorder="1" applyAlignment="1">
      <alignment horizontal="center" vertical="center" wrapText="1"/>
    </xf>
    <xf numFmtId="9" fontId="5" fillId="0" borderId="1" xfId="1" applyNumberFormat="1" applyBorder="1"/>
    <xf numFmtId="0" fontId="1" fillId="11" borderId="1" xfId="0" applyFont="1" applyFill="1" applyBorder="1" applyAlignment="1">
      <alignment horizontal="center" vertical="center"/>
    </xf>
    <xf numFmtId="0" fontId="13" fillId="0" borderId="0" xfId="1" applyFont="1" applyBorder="1" applyAlignment="1">
      <alignment horizontal="center"/>
    </xf>
    <xf numFmtId="9" fontId="5" fillId="0" borderId="0" xfId="1" applyNumberFormat="1" applyBorder="1"/>
    <xf numFmtId="49" fontId="5" fillId="0" borderId="0" xfId="1" applyNumberFormat="1" applyFill="1" applyBorder="1" applyAlignment="1" applyProtection="1">
      <alignment horizontal="center" vertical="center" wrapText="1"/>
      <protection locked="0"/>
    </xf>
    <xf numFmtId="0" fontId="10" fillId="0" borderId="0" xfId="1" applyNumberFormat="1" applyFont="1" applyBorder="1" applyAlignment="1">
      <alignment horizontal="center" vertical="center" textRotation="90" wrapText="1"/>
    </xf>
    <xf numFmtId="0" fontId="10" fillId="0" borderId="0" xfId="1" applyFont="1" applyBorder="1" applyAlignment="1">
      <alignment horizontal="center" vertical="center" textRotation="90" wrapText="1"/>
    </xf>
    <xf numFmtId="0" fontId="14" fillId="0" borderId="0" xfId="1" applyFont="1" applyBorder="1" applyAlignment="1">
      <alignment horizontal="center" vertical="center" textRotation="90" wrapText="1"/>
    </xf>
    <xf numFmtId="0" fontId="5" fillId="0" borderId="5" xfId="1" applyBorder="1" applyAlignment="1">
      <alignment horizontal="center"/>
    </xf>
    <xf numFmtId="0" fontId="5" fillId="0" borderId="5" xfId="1" applyBorder="1" applyAlignment="1">
      <alignment horizontal="center"/>
    </xf>
    <xf numFmtId="0" fontId="11" fillId="9" borderId="14" xfId="1" applyNumberFormat="1" applyFont="1" applyFill="1" applyBorder="1" applyAlignment="1">
      <alignment horizontal="center" vertical="center" wrapText="1"/>
    </xf>
    <xf numFmtId="0" fontId="11" fillId="9" borderId="16" xfId="1" applyNumberFormat="1" applyFont="1" applyFill="1" applyBorder="1" applyAlignment="1">
      <alignment horizontal="center" vertical="center" wrapText="1"/>
    </xf>
    <xf numFmtId="0" fontId="11" fillId="10" borderId="16" xfId="1" applyNumberFormat="1" applyFont="1" applyFill="1" applyBorder="1" applyAlignment="1">
      <alignment horizontal="center" vertical="center"/>
    </xf>
    <xf numFmtId="0" fontId="11" fillId="9" borderId="17" xfId="1" applyNumberFormat="1" applyFont="1" applyFill="1" applyBorder="1" applyAlignment="1">
      <alignment horizontal="center" vertical="center" wrapText="1"/>
    </xf>
    <xf numFmtId="0" fontId="0" fillId="0" borderId="18" xfId="0" applyBorder="1" applyAlignment="1">
      <alignment horizontal="left"/>
    </xf>
    <xf numFmtId="0" fontId="0" fillId="2" borderId="19" xfId="0" applyFill="1" applyBorder="1" applyAlignment="1">
      <alignment horizontal="left" vertical="center"/>
    </xf>
    <xf numFmtId="0" fontId="1" fillId="0" borderId="0" xfId="0" applyFont="1" applyFill="1" applyBorder="1" applyAlignment="1">
      <alignment horizontal="left" vertical="center"/>
    </xf>
    <xf numFmtId="0" fontId="0" fillId="7" borderId="1" xfId="0" applyFill="1" applyBorder="1" applyAlignment="1">
      <alignment horizontal="left" vertical="center"/>
    </xf>
    <xf numFmtId="1" fontId="12" fillId="0" borderId="15" xfId="1" applyNumberFormat="1" applyFont="1" applyFill="1" applyBorder="1" applyAlignment="1">
      <alignment horizontal="center" vertical="center" wrapText="1"/>
    </xf>
    <xf numFmtId="0" fontId="13" fillId="0" borderId="0" xfId="1" applyFont="1" applyBorder="1" applyAlignment="1">
      <alignment horizontal="center" vertical="center" wrapText="1"/>
    </xf>
    <xf numFmtId="0" fontId="0" fillId="7" borderId="1" xfId="0" applyFill="1" applyBorder="1" applyProtection="1">
      <protection locked="0"/>
    </xf>
    <xf numFmtId="0" fontId="0" fillId="2" borderId="1" xfId="0" applyFill="1" applyBorder="1" applyProtection="1">
      <protection locked="0"/>
    </xf>
    <xf numFmtId="0" fontId="9" fillId="0" borderId="2" xfId="1" applyFont="1" applyBorder="1" applyProtection="1">
      <protection locked="0"/>
    </xf>
    <xf numFmtId="0" fontId="11" fillId="9" borderId="24" xfId="1" applyNumberFormat="1" applyFont="1" applyFill="1" applyBorder="1" applyAlignment="1">
      <alignment horizontal="center" vertical="center" wrapText="1"/>
    </xf>
    <xf numFmtId="1" fontId="12" fillId="0" borderId="2" xfId="1" applyNumberFormat="1" applyFont="1" applyFill="1" applyBorder="1" applyAlignment="1">
      <alignment horizontal="center" vertical="center" wrapText="1"/>
    </xf>
    <xf numFmtId="0" fontId="18" fillId="6" borderId="0" xfId="0" applyFont="1" applyFill="1"/>
    <xf numFmtId="0" fontId="0" fillId="11" borderId="0" xfId="0" applyFill="1"/>
    <xf numFmtId="0" fontId="19" fillId="0" borderId="1" xfId="1" applyFont="1" applyBorder="1" applyAlignment="1">
      <alignment horizontal="center" vertical="center" wrapText="1"/>
    </xf>
    <xf numFmtId="0" fontId="20" fillId="0" borderId="1" xfId="1" applyFont="1" applyBorder="1" applyAlignment="1">
      <alignment horizontal="center" vertical="center" wrapText="1"/>
    </xf>
    <xf numFmtId="0" fontId="0" fillId="2" borderId="18" xfId="0" applyFill="1" applyBorder="1" applyAlignment="1" applyProtection="1">
      <alignment horizontal="left" vertical="center"/>
      <protection locked="0"/>
    </xf>
    <xf numFmtId="0" fontId="0" fillId="2" borderId="25" xfId="0" applyFill="1" applyBorder="1" applyAlignment="1">
      <alignment horizontal="left" vertical="center"/>
    </xf>
    <xf numFmtId="0" fontId="0" fillId="0" borderId="26" xfId="0" applyFill="1" applyBorder="1" applyProtection="1">
      <protection locked="0"/>
    </xf>
    <xf numFmtId="0" fontId="0" fillId="0" borderId="0" xfId="0" applyFill="1" applyBorder="1" applyProtection="1">
      <protection locked="0"/>
    </xf>
    <xf numFmtId="0" fontId="1" fillId="3" borderId="0" xfId="0" applyFont="1" applyFill="1" applyAlignment="1">
      <alignment horizontal="center" vertical="center"/>
    </xf>
    <xf numFmtId="0" fontId="1" fillId="3" borderId="1" xfId="0" applyFont="1" applyFill="1" applyBorder="1"/>
    <xf numFmtId="0" fontId="18" fillId="0" borderId="0" xfId="0" applyFont="1" applyFill="1"/>
    <xf numFmtId="0" fontId="0" fillId="2" borderId="1" xfId="0" applyFill="1" applyBorder="1" applyAlignment="1">
      <alignment horizontal="left"/>
    </xf>
    <xf numFmtId="0" fontId="18" fillId="0" borderId="0" xfId="0" applyFont="1" applyFill="1" applyBorder="1" applyProtection="1"/>
    <xf numFmtId="0" fontId="0" fillId="2" borderId="1" xfId="0" applyFill="1" applyBorder="1" applyProtection="1">
      <protection locked="0"/>
    </xf>
    <xf numFmtId="0" fontId="4" fillId="0" borderId="1" xfId="0" applyFont="1" applyBorder="1" applyAlignment="1">
      <alignment horizontal="center" vertical="center" textRotation="180"/>
    </xf>
    <xf numFmtId="0" fontId="2" fillId="5" borderId="1" xfId="0" applyFont="1" applyFill="1" applyBorder="1" applyAlignment="1">
      <alignment horizontal="center" vertical="center"/>
    </xf>
    <xf numFmtId="0" fontId="0" fillId="4" borderId="0" xfId="0" applyFill="1"/>
    <xf numFmtId="164" fontId="5" fillId="0" borderId="3" xfId="1" applyNumberFormat="1" applyFont="1" applyBorder="1" applyAlignment="1">
      <alignment horizontal="center" vertical="center"/>
    </xf>
    <xf numFmtId="0" fontId="5" fillId="0" borderId="3" xfId="1" applyBorder="1" applyAlignment="1"/>
    <xf numFmtId="0" fontId="16" fillId="0" borderId="11" xfId="1" applyFont="1" applyBorder="1" applyAlignment="1">
      <alignment horizontal="center" vertical="center" textRotation="90" wrapText="1"/>
    </xf>
    <xf numFmtId="0" fontId="16" fillId="0" borderId="12" xfId="1" applyFont="1" applyBorder="1" applyAlignment="1">
      <alignment horizontal="center" vertical="center" textRotation="90" wrapText="1"/>
    </xf>
    <xf numFmtId="0" fontId="16" fillId="0" borderId="13" xfId="1" applyFont="1" applyBorder="1" applyAlignment="1">
      <alignment horizontal="center" vertical="center" textRotation="90" wrapText="1"/>
    </xf>
    <xf numFmtId="0" fontId="17" fillId="0" borderId="11" xfId="1" applyFont="1" applyBorder="1" applyAlignment="1">
      <alignment horizontal="center" vertical="center" textRotation="90" wrapText="1"/>
    </xf>
    <xf numFmtId="0" fontId="17" fillId="0" borderId="12" xfId="1" applyFont="1" applyBorder="1" applyAlignment="1">
      <alignment horizontal="center" vertical="center" textRotation="90" wrapText="1"/>
    </xf>
    <xf numFmtId="0" fontId="17" fillId="0" borderId="13" xfId="1" applyFont="1" applyBorder="1" applyAlignment="1">
      <alignment horizontal="center" vertical="center" textRotation="90" wrapText="1"/>
    </xf>
    <xf numFmtId="164" fontId="9" fillId="0" borderId="4" xfId="1" applyNumberFormat="1" applyFont="1" applyBorder="1" applyAlignment="1">
      <alignment horizontal="center" vertical="center"/>
    </xf>
    <xf numFmtId="164" fontId="9" fillId="0" borderId="6" xfId="1" applyNumberFormat="1" applyFont="1" applyBorder="1" applyAlignment="1">
      <alignment horizontal="center" vertical="center"/>
    </xf>
    <xf numFmtId="164" fontId="9" fillId="0" borderId="9" xfId="1" applyNumberFormat="1" applyFont="1" applyBorder="1" applyAlignment="1">
      <alignment horizontal="center" vertical="center"/>
    </xf>
    <xf numFmtId="0" fontId="8" fillId="9" borderId="3" xfId="1" applyFont="1" applyFill="1" applyBorder="1" applyAlignment="1">
      <alignment horizontal="center" vertical="center" textRotation="90" wrapText="1"/>
    </xf>
    <xf numFmtId="0" fontId="5" fillId="0" borderId="5" xfId="1" applyBorder="1" applyAlignment="1">
      <alignment horizontal="center"/>
    </xf>
    <xf numFmtId="0" fontId="8" fillId="10" borderId="3" xfId="1" applyFont="1" applyFill="1" applyBorder="1" applyAlignment="1">
      <alignment horizontal="center" vertical="center" textRotation="90" wrapText="1"/>
    </xf>
    <xf numFmtId="164" fontId="9" fillId="0" borderId="10" xfId="1" applyNumberFormat="1" applyFont="1" applyBorder="1" applyAlignment="1">
      <alignment horizontal="center" vertical="center"/>
    </xf>
    <xf numFmtId="164" fontId="9" fillId="0" borderId="5" xfId="1" applyNumberFormat="1" applyFont="1" applyBorder="1" applyAlignment="1">
      <alignment horizontal="center" vertical="center"/>
    </xf>
    <xf numFmtId="164" fontId="9" fillId="0" borderId="8" xfId="1" applyNumberFormat="1" applyFont="1" applyBorder="1" applyAlignment="1">
      <alignment horizontal="center" vertical="center"/>
    </xf>
    <xf numFmtId="164" fontId="9" fillId="0" borderId="7" xfId="1" applyNumberFormat="1" applyFont="1" applyBorder="1" applyAlignment="1">
      <alignment horizontal="center" vertical="center"/>
    </xf>
    <xf numFmtId="0" fontId="5" fillId="0" borderId="5" xfId="1" applyBorder="1" applyAlignment="1"/>
    <xf numFmtId="164" fontId="9" fillId="0" borderId="23" xfId="1" applyNumberFormat="1" applyFont="1" applyBorder="1" applyAlignment="1">
      <alignment horizontal="center" vertical="center"/>
    </xf>
    <xf numFmtId="164" fontId="9" fillId="0" borderId="20" xfId="1" applyNumberFormat="1" applyFont="1" applyBorder="1" applyAlignment="1">
      <alignment horizontal="center" vertical="center"/>
    </xf>
    <xf numFmtId="164" fontId="9" fillId="0" borderId="21" xfId="1" applyNumberFormat="1" applyFont="1" applyBorder="1" applyAlignment="1">
      <alignment horizontal="center" vertical="center"/>
    </xf>
    <xf numFmtId="164" fontId="9" fillId="0" borderId="22" xfId="1" applyNumberFormat="1" applyFont="1" applyBorder="1" applyAlignment="1">
      <alignment horizontal="center" vertical="center"/>
    </xf>
    <xf numFmtId="0" fontId="16" fillId="0" borderId="20" xfId="1" applyFont="1" applyBorder="1" applyAlignment="1">
      <alignment horizontal="center" vertical="center" textRotation="90" wrapText="1"/>
    </xf>
    <xf numFmtId="0" fontId="16" fillId="0" borderId="21" xfId="1" applyFont="1" applyBorder="1" applyAlignment="1">
      <alignment horizontal="center" vertical="center" textRotation="90" wrapText="1"/>
    </xf>
    <xf numFmtId="0" fontId="16" fillId="0" borderId="22" xfId="1" applyFont="1" applyBorder="1" applyAlignment="1">
      <alignment horizontal="center" vertical="center" textRotation="90" wrapText="1"/>
    </xf>
  </cellXfs>
  <cellStyles count="3">
    <cellStyle name="Normal" xfId="0" builtinId="0"/>
    <cellStyle name="Normal 2" xfId="1" xr:uid="{00000000-0005-0000-0000-000001000000}"/>
    <cellStyle name="Titre 1" xfId="2" xr:uid="{00000000-0005-0000-0000-000002000000}"/>
  </cellStyles>
  <dxfs count="12">
    <dxf>
      <font>
        <b val="0"/>
        <condense val="0"/>
        <extend val="0"/>
        <sz val="11"/>
        <color indexed="8"/>
      </font>
      <fill>
        <patternFill patternType="solid">
          <fgColor indexed="27"/>
          <bgColor indexed="42"/>
        </patternFill>
      </fill>
    </dxf>
    <dxf>
      <font>
        <b val="0"/>
        <condense val="0"/>
        <extend val="0"/>
        <sz val="11"/>
        <color indexed="8"/>
      </font>
      <fill>
        <patternFill patternType="solid">
          <fgColor indexed="26"/>
          <bgColor indexed="43"/>
        </patternFill>
      </fill>
    </dxf>
    <dxf>
      <font>
        <b val="0"/>
        <condense val="0"/>
        <extend val="0"/>
        <sz val="11"/>
        <color indexed="8"/>
      </font>
      <fill>
        <patternFill patternType="solid">
          <fgColor indexed="22"/>
          <bgColor indexed="47"/>
        </patternFill>
      </fill>
    </dxf>
    <dxf>
      <fill>
        <patternFill>
          <bgColor indexed="52"/>
        </patternFill>
      </fill>
    </dxf>
    <dxf>
      <fill>
        <patternFill>
          <bgColor indexed="10"/>
        </patternFill>
      </fill>
    </dxf>
    <dxf>
      <fill>
        <patternFill>
          <bgColor indexed="11"/>
        </patternFill>
      </fill>
    </dxf>
    <dxf>
      <font>
        <b val="0"/>
        <condense val="0"/>
        <extend val="0"/>
        <sz val="11"/>
        <color indexed="8"/>
      </font>
      <fill>
        <patternFill patternType="solid">
          <fgColor indexed="27"/>
          <bgColor indexed="42"/>
        </patternFill>
      </fill>
    </dxf>
    <dxf>
      <font>
        <b val="0"/>
        <condense val="0"/>
        <extend val="0"/>
        <sz val="11"/>
        <color indexed="8"/>
      </font>
      <fill>
        <patternFill patternType="solid">
          <fgColor indexed="26"/>
          <bgColor indexed="43"/>
        </patternFill>
      </fill>
    </dxf>
    <dxf>
      <font>
        <b val="0"/>
        <condense val="0"/>
        <extend val="0"/>
        <sz val="11"/>
        <color indexed="8"/>
      </font>
      <fill>
        <patternFill patternType="solid">
          <fgColor indexed="22"/>
          <bgColor indexed="47"/>
        </patternFill>
      </fill>
    </dxf>
    <dxf>
      <fill>
        <patternFill>
          <bgColor indexed="52"/>
        </patternFill>
      </fill>
    </dxf>
    <dxf>
      <fill>
        <patternFill>
          <bgColor indexed="10"/>
        </patternFill>
      </fill>
    </dxf>
    <dxf>
      <fill>
        <patternFill>
          <bgColor indexed="1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097134938079928"/>
          <c:y val="0.15297450424929179"/>
          <c:w val="0.39805888143912194"/>
          <c:h val="0.69688385269121988"/>
        </c:manualLayout>
      </c:layout>
      <c:radarChart>
        <c:radarStyle val="filled"/>
        <c:varyColors val="0"/>
        <c:ser>
          <c:idx val="0"/>
          <c:order val="0"/>
          <c:spPr>
            <a:solidFill>
              <a:srgbClr val="9999FF"/>
            </a:solidFill>
            <a:ln w="12700">
              <a:solidFill>
                <a:srgbClr val="000000"/>
              </a:solidFill>
              <a:prstDash val="solid"/>
            </a:ln>
          </c:spPr>
          <c:dLbls>
            <c:dLbl>
              <c:idx val="0"/>
              <c:layout>
                <c:manualLayout>
                  <c:x val="5.3940909260534573E-4"/>
                  <c:y val="-0.1886790747388056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A-4767-8BED-6CEDECC22391}"/>
                </c:ext>
              </c:extLst>
            </c:dLbl>
            <c:dLbl>
              <c:idx val="1"/>
              <c:layout>
                <c:manualLayout>
                  <c:x val="0.35662635233930606"/>
                  <c:y val="-4.081199157515241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A-4767-8BED-6CEDECC22391}"/>
                </c:ext>
              </c:extLst>
            </c:dLbl>
            <c:dLbl>
              <c:idx val="2"/>
              <c:layout>
                <c:manualLayout>
                  <c:x val="6.5959893746586314E-3"/>
                  <c:y val="0.2631735088289322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A-4767-8BED-6CEDECC22391}"/>
                </c:ext>
              </c:extLst>
            </c:dLbl>
            <c:dLbl>
              <c:idx val="3"/>
              <c:layout>
                <c:manualLayout>
                  <c:x val="-0.3541857806335173"/>
                  <c:y val="-9.161513315426765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A-4767-8BED-6CEDECC22391}"/>
                </c:ext>
              </c:extLst>
            </c:dLbl>
            <c:dLbl>
              <c:idx val="4"/>
              <c:layout>
                <c:manualLayout>
                  <c:x val="-0.21097774089734436"/>
                  <c:y val="-2.06651647297628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A-4767-8BED-6CEDECC22391}"/>
                </c:ext>
              </c:extLst>
            </c:dLbl>
            <c:spPr>
              <a:noFill/>
              <a:ln w="25400">
                <a:noFill/>
              </a:ln>
            </c:spPr>
            <c:txPr>
              <a:bodyPr/>
              <a:lstStyle/>
              <a:p>
                <a:pPr algn="r">
                  <a:defRPr sz="1000" b="1" i="0" u="none" strike="noStrike" baseline="0">
                    <a:solidFill>
                      <a:srgbClr val="FF0000"/>
                    </a:solidFill>
                    <a:latin typeface="Verdana"/>
                    <a:ea typeface="Verdana"/>
                    <a:cs typeface="Verdana"/>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'FRA Synthèse élève'!$K$4:$N$4</c:f>
              <c:strCache>
                <c:ptCount val="4"/>
                <c:pt idx="0">
                  <c:v>Lecture et compréhension de l'écrit</c:v>
                </c:pt>
                <c:pt idx="1">
                  <c:v>Ecriture</c:v>
                </c:pt>
                <c:pt idx="2">
                  <c:v>Etude de la langue</c:v>
                </c:pt>
                <c:pt idx="3">
                  <c:v>Langage oral</c:v>
                </c:pt>
              </c:strCache>
            </c:strRef>
          </c:cat>
          <c:val>
            <c:numRef>
              <c:f>'FRA Synthèse élève'!$K$5:$N$5</c:f>
              <c:numCache>
                <c:formatCode>0%</c:formatCode>
                <c:ptCount val="4"/>
                <c:pt idx="0">
                  <c:v>0</c:v>
                </c:pt>
                <c:pt idx="1">
                  <c:v>0</c:v>
                </c:pt>
                <c:pt idx="2">
                  <c:v>0</c:v>
                </c:pt>
                <c:pt idx="3">
                  <c:v>0</c:v>
                </c:pt>
              </c:numCache>
            </c:numRef>
          </c:val>
          <c:extLst>
            <c:ext xmlns:c16="http://schemas.microsoft.com/office/drawing/2014/chart" uri="{C3380CC4-5D6E-409C-BE32-E72D297353CC}">
              <c16:uniqueId val="{00000005-503A-4767-8BED-6CEDECC22391}"/>
            </c:ext>
          </c:extLst>
        </c:ser>
        <c:dLbls>
          <c:showLegendKey val="0"/>
          <c:showVal val="1"/>
          <c:showCatName val="0"/>
          <c:showSerName val="0"/>
          <c:showPercent val="0"/>
          <c:showBubbleSize val="0"/>
        </c:dLbls>
        <c:axId val="65637376"/>
        <c:axId val="65639168"/>
      </c:radarChart>
      <c:catAx>
        <c:axId val="65637376"/>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lstStyle/>
          <a:p>
            <a:pPr>
              <a:defRPr sz="1000" b="0" i="0" u="none" strike="noStrike" baseline="0">
                <a:solidFill>
                  <a:srgbClr val="000000"/>
                </a:solidFill>
                <a:latin typeface="Verdana"/>
                <a:ea typeface="Verdana"/>
                <a:cs typeface="Verdana"/>
              </a:defRPr>
            </a:pPr>
            <a:endParaRPr lang="fr-FR"/>
          </a:p>
        </c:txPr>
        <c:crossAx val="65639168"/>
        <c:crosses val="autoZero"/>
        <c:auto val="0"/>
        <c:lblAlgn val="ctr"/>
        <c:lblOffset val="100"/>
        <c:noMultiLvlLbl val="0"/>
      </c:catAx>
      <c:valAx>
        <c:axId val="65639168"/>
        <c:scaling>
          <c:orientation val="minMax"/>
          <c:max val="1"/>
          <c:min val="0"/>
        </c:scaling>
        <c:delete val="0"/>
        <c:axPos val="l"/>
        <c:majorGridlines>
          <c:spPr>
            <a:ln w="3175">
              <a:solidFill>
                <a:srgbClr val="000000"/>
              </a:solidFill>
              <a:prstDash val="solid"/>
            </a:ln>
          </c:spPr>
        </c:majorGridlines>
        <c:numFmt formatCode="0%"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Verdana"/>
                <a:ea typeface="Verdana"/>
                <a:cs typeface="Verdana"/>
              </a:defRPr>
            </a:pPr>
            <a:endParaRPr lang="fr-FR"/>
          </a:p>
        </c:txPr>
        <c:crossAx val="65637376"/>
        <c:crosses val="autoZero"/>
        <c:crossBetween val="between"/>
        <c:majorUnit val="1"/>
        <c:minorUnit val="2.0000000000000011E-2"/>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Verdana"/>
          <a:ea typeface="Verdana"/>
          <a:cs typeface="Verdana"/>
        </a:defRPr>
      </a:pPr>
      <a:endParaRPr lang="fr-FR"/>
    </a:p>
  </c:txPr>
  <c:printSettings>
    <c:headerFooter alignWithMargins="0"/>
    <c:pageMargins b="0.98425196899999956" l="0.78740157499999996" r="0.78740157499999996" t="0.98425196899999956" header="0.49212598450000089" footer="0.49212598450000089"/>
    <c:pageSetup paperSize="9" orientation="landscape" horizontalDpi="0" verticalDpi="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097134938079939"/>
          <c:y val="0.15297450424929179"/>
          <c:w val="0.39805888143912216"/>
          <c:h val="0.69688385269122011"/>
        </c:manualLayout>
      </c:layout>
      <c:radarChart>
        <c:radarStyle val="filled"/>
        <c:varyColors val="0"/>
        <c:ser>
          <c:idx val="0"/>
          <c:order val="0"/>
          <c:spPr>
            <a:solidFill>
              <a:srgbClr val="9999FF"/>
            </a:solidFill>
            <a:ln w="12700">
              <a:solidFill>
                <a:srgbClr val="000000"/>
              </a:solidFill>
              <a:prstDash val="solid"/>
            </a:ln>
          </c:spPr>
          <c:dLbls>
            <c:dLbl>
              <c:idx val="0"/>
              <c:layout>
                <c:manualLayout>
                  <c:x val="5.3940909260534573E-4"/>
                  <c:y val="-0.1845793136709439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49D-4BD0-9F02-9B157E412F2B}"/>
                </c:ext>
              </c:extLst>
            </c:dLbl>
            <c:dLbl>
              <c:idx val="1"/>
              <c:layout>
                <c:manualLayout>
                  <c:x val="0.18256341971889123"/>
                  <c:y val="-3.48294706787714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49D-4BD0-9F02-9B157E412F2B}"/>
                </c:ext>
              </c:extLst>
            </c:dLbl>
            <c:dLbl>
              <c:idx val="2"/>
              <c:layout>
                <c:manualLayout>
                  <c:x val="4.872729986735237E-3"/>
                  <c:y val="0.164779243200247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49D-4BD0-9F02-9B157E412F2B}"/>
                </c:ext>
              </c:extLst>
            </c:dLbl>
            <c:dLbl>
              <c:idx val="3"/>
              <c:layout>
                <c:manualLayout>
                  <c:x val="-0.32183100550604382"/>
                  <c:y val="3.137769888158928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49D-4BD0-9F02-9B157E412F2B}"/>
                </c:ext>
              </c:extLst>
            </c:dLbl>
            <c:dLbl>
              <c:idx val="4"/>
              <c:layout>
                <c:manualLayout>
                  <c:x val="-0.21097774089734447"/>
                  <c:y val="-2.06651647297628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49D-4BD0-9F02-9B157E412F2B}"/>
                </c:ext>
              </c:extLst>
            </c:dLbl>
            <c:spPr>
              <a:noFill/>
              <a:ln w="25400">
                <a:noFill/>
              </a:ln>
            </c:spPr>
            <c:txPr>
              <a:bodyPr/>
              <a:lstStyle/>
              <a:p>
                <a:pPr algn="r">
                  <a:defRPr sz="1000" b="1" i="0" u="none" strike="noStrike" baseline="0">
                    <a:solidFill>
                      <a:srgbClr val="FF0000"/>
                    </a:solidFill>
                    <a:latin typeface="Verdana"/>
                    <a:ea typeface="Verdana"/>
                    <a:cs typeface="Verdana"/>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'MATH Synthèse élève'!$K$4:$M$4</c:f>
              <c:strCache>
                <c:ptCount val="3"/>
                <c:pt idx="0">
                  <c:v>Nombres et calcul</c:v>
                </c:pt>
                <c:pt idx="1">
                  <c:v>Grandeurs et mesures</c:v>
                </c:pt>
                <c:pt idx="2">
                  <c:v>Espace et géométrie</c:v>
                </c:pt>
              </c:strCache>
            </c:strRef>
          </c:cat>
          <c:val>
            <c:numRef>
              <c:f>'MATH Synthèse élève'!$K$5:$M$5</c:f>
              <c:numCache>
                <c:formatCode>0%</c:formatCode>
                <c:ptCount val="3"/>
                <c:pt idx="0">
                  <c:v>0</c:v>
                </c:pt>
                <c:pt idx="1">
                  <c:v>0</c:v>
                </c:pt>
                <c:pt idx="2">
                  <c:v>0</c:v>
                </c:pt>
              </c:numCache>
            </c:numRef>
          </c:val>
          <c:extLst>
            <c:ext xmlns:c16="http://schemas.microsoft.com/office/drawing/2014/chart" uri="{C3380CC4-5D6E-409C-BE32-E72D297353CC}">
              <c16:uniqueId val="{00000005-E49D-4BD0-9F02-9B157E412F2B}"/>
            </c:ext>
          </c:extLst>
        </c:ser>
        <c:dLbls>
          <c:showLegendKey val="0"/>
          <c:showVal val="1"/>
          <c:showCatName val="0"/>
          <c:showSerName val="0"/>
          <c:showPercent val="0"/>
          <c:showBubbleSize val="0"/>
        </c:dLbls>
        <c:axId val="79411840"/>
        <c:axId val="79425920"/>
      </c:radarChart>
      <c:catAx>
        <c:axId val="79411840"/>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lstStyle/>
          <a:p>
            <a:pPr>
              <a:defRPr sz="1000" b="0" i="0" u="none" strike="noStrike" baseline="0">
                <a:solidFill>
                  <a:srgbClr val="000000"/>
                </a:solidFill>
                <a:latin typeface="Verdana"/>
                <a:ea typeface="Verdana"/>
                <a:cs typeface="Verdana"/>
              </a:defRPr>
            </a:pPr>
            <a:endParaRPr lang="fr-FR"/>
          </a:p>
        </c:txPr>
        <c:crossAx val="79425920"/>
        <c:crosses val="autoZero"/>
        <c:auto val="0"/>
        <c:lblAlgn val="ctr"/>
        <c:lblOffset val="100"/>
        <c:noMultiLvlLbl val="0"/>
      </c:catAx>
      <c:valAx>
        <c:axId val="79425920"/>
        <c:scaling>
          <c:orientation val="minMax"/>
          <c:max val="1"/>
          <c:min val="0"/>
        </c:scaling>
        <c:delete val="0"/>
        <c:axPos val="l"/>
        <c:majorGridlines>
          <c:spPr>
            <a:ln w="3175">
              <a:solidFill>
                <a:srgbClr val="000000"/>
              </a:solidFill>
              <a:prstDash val="solid"/>
            </a:ln>
          </c:spPr>
        </c:majorGridlines>
        <c:numFmt formatCode="0%" sourceLinked="1"/>
        <c:majorTickMark val="cross"/>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Verdana"/>
                <a:ea typeface="Verdana"/>
                <a:cs typeface="Verdana"/>
              </a:defRPr>
            </a:pPr>
            <a:endParaRPr lang="fr-FR"/>
          </a:p>
        </c:txPr>
        <c:crossAx val="79411840"/>
        <c:crosses val="autoZero"/>
        <c:crossBetween val="between"/>
        <c:majorUnit val="1"/>
        <c:minorUnit val="2.0000000000000011E-2"/>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Verdana"/>
          <a:ea typeface="Verdana"/>
          <a:cs typeface="Verdana"/>
        </a:defRPr>
      </a:pPr>
      <a:endParaRPr lang="fr-FR"/>
    </a:p>
  </c:txPr>
  <c:printSettings>
    <c:headerFooter alignWithMargins="0"/>
    <c:pageMargins b="0.98425196899999956" l="0.78740157499999996" r="0.78740157499999996" t="0.98425196899999956" header="0.492125984500001" footer="0.492125984500001"/>
    <c:pageSetup paperSize="9" orientation="landscape" horizontalDpi="0" verticalDpi="0"/>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7</xdr:col>
      <xdr:colOff>703793</xdr:colOff>
      <xdr:row>6</xdr:row>
      <xdr:rowOff>17198</xdr:rowOff>
    </xdr:from>
    <xdr:to>
      <xdr:col>14</xdr:col>
      <xdr:colOff>650876</xdr:colOff>
      <xdr:row>36</xdr:row>
      <xdr:rowOff>66144</xdr:rowOff>
    </xdr:to>
    <xdr:graphicFrame macro="">
      <xdr:nvGraphicFramePr>
        <xdr:cNvPr id="2" name="Chart 3">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6463</xdr:colOff>
      <xdr:row>6</xdr:row>
      <xdr:rowOff>21430</xdr:rowOff>
    </xdr:from>
    <xdr:to>
      <xdr:col>13</xdr:col>
      <xdr:colOff>516732</xdr:colOff>
      <xdr:row>45</xdr:row>
      <xdr:rowOff>101105</xdr:rowOff>
    </xdr:to>
    <xdr:graphicFrame macro="">
      <xdr:nvGraphicFramePr>
        <xdr:cNvPr id="2" name="Chart 3">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B2:H18"/>
  <sheetViews>
    <sheetView view="pageBreakPreview" zoomScaleNormal="100" zoomScaleSheetLayoutView="100" workbookViewId="0">
      <pane ySplit="8" topLeftCell="A9" activePane="bottomLeft" state="frozen"/>
      <selection pane="bottomLeft" activeCell="C9" sqref="C9"/>
    </sheetView>
  </sheetViews>
  <sheetFormatPr baseColWidth="10" defaultRowHeight="15" x14ac:dyDescent="0.25"/>
  <cols>
    <col min="1" max="1" width="2.28515625" customWidth="1"/>
    <col min="2" max="2" width="11.42578125" style="1"/>
    <col min="4" max="4" width="16.5703125" customWidth="1"/>
    <col min="8" max="8" width="1.5703125" customWidth="1"/>
  </cols>
  <sheetData>
    <row r="2" spans="2:8" x14ac:dyDescent="0.25">
      <c r="B2" s="51" t="s">
        <v>0</v>
      </c>
      <c r="C2" s="51"/>
      <c r="D2" s="51"/>
      <c r="E2" s="51"/>
    </row>
    <row r="4" spans="2:8" x14ac:dyDescent="0.25">
      <c r="B4" s="49" t="s">
        <v>1</v>
      </c>
      <c r="C4" s="49"/>
      <c r="D4" s="53"/>
      <c r="E4" s="53"/>
      <c r="F4" s="53"/>
      <c r="G4" s="53"/>
      <c r="H4" s="47"/>
    </row>
    <row r="6" spans="2:8" x14ac:dyDescent="0.25">
      <c r="B6" s="50"/>
      <c r="C6" s="50"/>
      <c r="D6" s="52"/>
      <c r="E6" s="52"/>
    </row>
    <row r="8" spans="2:8" ht="45.75" customHeight="1" x14ac:dyDescent="0.25">
      <c r="C8" s="48" t="s">
        <v>2</v>
      </c>
      <c r="D8" s="48"/>
    </row>
    <row r="9" spans="2:8" x14ac:dyDescent="0.25">
      <c r="B9" s="29">
        <v>1</v>
      </c>
      <c r="C9" s="44" t="s">
        <v>43</v>
      </c>
      <c r="D9" s="30"/>
    </row>
    <row r="10" spans="2:8" x14ac:dyDescent="0.25">
      <c r="B10" s="29">
        <v>2</v>
      </c>
      <c r="C10" s="44" t="s">
        <v>47</v>
      </c>
      <c r="D10" s="30"/>
    </row>
    <row r="11" spans="2:8" x14ac:dyDescent="0.25">
      <c r="B11" s="29">
        <v>3</v>
      </c>
      <c r="C11" s="44" t="s">
        <v>3</v>
      </c>
      <c r="D11" s="45"/>
    </row>
    <row r="12" spans="2:8" x14ac:dyDescent="0.25">
      <c r="B12" s="29">
        <v>4</v>
      </c>
      <c r="C12" s="44" t="s">
        <v>4</v>
      </c>
      <c r="D12" s="45"/>
    </row>
    <row r="13" spans="2:8" x14ac:dyDescent="0.25">
      <c r="B13" s="29">
        <v>5</v>
      </c>
      <c r="C13" s="44" t="s">
        <v>5</v>
      </c>
      <c r="D13" s="45"/>
    </row>
    <row r="14" spans="2:8" x14ac:dyDescent="0.25">
      <c r="B14" s="29">
        <v>6</v>
      </c>
      <c r="C14" s="44" t="s">
        <v>6</v>
      </c>
      <c r="D14" s="45"/>
    </row>
    <row r="15" spans="2:8" x14ac:dyDescent="0.25">
      <c r="B15" s="29">
        <v>7</v>
      </c>
      <c r="C15" s="44" t="s">
        <v>7</v>
      </c>
      <c r="D15" s="45"/>
    </row>
    <row r="16" spans="2:8" x14ac:dyDescent="0.25">
      <c r="B16" s="29">
        <v>8</v>
      </c>
      <c r="C16" s="44" t="s">
        <v>8</v>
      </c>
      <c r="D16" s="45"/>
    </row>
    <row r="17" spans="2:4" x14ac:dyDescent="0.25">
      <c r="B17" s="29">
        <v>9</v>
      </c>
      <c r="C17" s="44" t="s">
        <v>9</v>
      </c>
      <c r="D17" s="45"/>
    </row>
    <row r="18" spans="2:4" x14ac:dyDescent="0.25">
      <c r="B18" s="29">
        <v>10</v>
      </c>
      <c r="C18" s="44" t="s">
        <v>10</v>
      </c>
      <c r="D18" s="45"/>
    </row>
  </sheetData>
  <sheetProtection password="C880" sheet="1" objects="1" scenarios="1" selectLockedCells="1"/>
  <mergeCells count="6">
    <mergeCell ref="C8:D8"/>
    <mergeCell ref="B4:C4"/>
    <mergeCell ref="B6:C6"/>
    <mergeCell ref="B2:E2"/>
    <mergeCell ref="D6:E6"/>
    <mergeCell ref="D4:G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2:ER27"/>
  <sheetViews>
    <sheetView tabSelected="1" view="pageBreakPreview" zoomScale="80" zoomScaleNormal="100" zoomScaleSheetLayoutView="80" workbookViewId="0">
      <pane xSplit="3" ySplit="7" topLeftCell="CJ8" activePane="bottomRight" state="frozen"/>
      <selection pane="topRight" activeCell="D1" sqref="D1"/>
      <selection pane="bottomLeft" activeCell="A8" sqref="A8"/>
      <selection pane="bottomRight" activeCell="D17" sqref="D17"/>
    </sheetView>
  </sheetViews>
  <sheetFormatPr baseColWidth="10" defaultRowHeight="15" x14ac:dyDescent="0.25"/>
  <cols>
    <col min="1" max="1" width="3" customWidth="1"/>
    <col min="2" max="2" width="4.28515625" style="1" customWidth="1"/>
    <col min="3" max="3" width="30.7109375" customWidth="1"/>
    <col min="4" max="145" width="4.7109375" customWidth="1"/>
    <col min="146" max="146" width="2.5703125" customWidth="1"/>
  </cols>
  <sheetData>
    <row r="2" spans="1:148" ht="15" customHeight="1" x14ac:dyDescent="0.25">
      <c r="A2" s="55" t="s">
        <v>11</v>
      </c>
      <c r="B2" s="55"/>
      <c r="C2" s="55"/>
      <c r="D2" s="56" t="s">
        <v>14</v>
      </c>
      <c r="E2" s="56"/>
      <c r="F2" s="56"/>
      <c r="G2" s="56"/>
      <c r="H2" s="56"/>
      <c r="I2" s="56"/>
      <c r="J2" s="56"/>
      <c r="K2" s="56"/>
      <c r="L2" s="56"/>
      <c r="M2" s="56"/>
      <c r="N2" s="56"/>
      <c r="O2" s="56"/>
      <c r="P2" s="56"/>
      <c r="Q2" s="56"/>
      <c r="R2" s="56"/>
      <c r="S2" s="56"/>
      <c r="T2" s="56"/>
      <c r="U2" s="56"/>
      <c r="V2" s="56"/>
      <c r="X2" s="40"/>
      <c r="Y2" t="s">
        <v>44</v>
      </c>
    </row>
    <row r="3" spans="1:148" ht="15" customHeight="1" x14ac:dyDescent="0.25">
      <c r="A3" s="55"/>
      <c r="B3" s="55"/>
      <c r="C3" s="55"/>
      <c r="D3" s="56" t="s">
        <v>15</v>
      </c>
      <c r="E3" s="56"/>
      <c r="F3" s="56"/>
      <c r="G3" s="56"/>
      <c r="H3" s="56"/>
      <c r="I3" s="56"/>
      <c r="J3" s="56"/>
      <c r="K3" s="56"/>
      <c r="L3" s="56"/>
      <c r="M3" s="56"/>
      <c r="N3" s="56"/>
      <c r="O3" s="56"/>
      <c r="P3" s="56"/>
      <c r="Q3" s="56"/>
      <c r="R3" s="56"/>
      <c r="S3" s="56"/>
      <c r="T3" s="56"/>
      <c r="U3" s="56"/>
      <c r="V3" s="56"/>
    </row>
    <row r="4" spans="1:148" ht="15" customHeight="1" x14ac:dyDescent="0.25">
      <c r="A4" s="55"/>
      <c r="B4" s="55"/>
      <c r="C4" s="55"/>
      <c r="D4" s="56" t="s">
        <v>16</v>
      </c>
      <c r="E4" s="56"/>
      <c r="F4" s="56"/>
      <c r="G4" s="56"/>
      <c r="H4" s="56"/>
      <c r="I4" s="56"/>
      <c r="J4" s="56"/>
      <c r="K4" s="56"/>
      <c r="L4" s="56"/>
      <c r="M4" s="56"/>
      <c r="N4" s="56"/>
      <c r="O4" s="56"/>
      <c r="P4" s="56"/>
      <c r="Q4" s="56"/>
      <c r="R4" s="56"/>
      <c r="S4" s="56"/>
      <c r="T4" s="56"/>
      <c r="U4" s="56"/>
      <c r="V4" s="56"/>
      <c r="X4" s="41"/>
      <c r="Y4" t="s">
        <v>45</v>
      </c>
    </row>
    <row r="5" spans="1:148" ht="15" customHeight="1" x14ac:dyDescent="0.25">
      <c r="A5" s="55"/>
      <c r="B5" s="55"/>
      <c r="C5" s="55"/>
      <c r="D5" s="56"/>
      <c r="E5" s="56"/>
      <c r="F5" s="56"/>
      <c r="G5" s="56"/>
      <c r="H5" s="56"/>
      <c r="I5" s="56"/>
      <c r="J5" s="56"/>
      <c r="K5" s="56"/>
      <c r="L5" s="56"/>
      <c r="M5" s="56"/>
      <c r="N5" s="56"/>
      <c r="O5" s="56"/>
      <c r="P5" s="56"/>
      <c r="Q5" s="56"/>
      <c r="R5" s="56"/>
      <c r="S5" s="56"/>
      <c r="T5" s="56"/>
      <c r="U5" s="56"/>
      <c r="V5" s="56"/>
    </row>
    <row r="6" spans="1:148" ht="24.75" customHeight="1" x14ac:dyDescent="0.25">
      <c r="EQ6" s="54" t="s">
        <v>22</v>
      </c>
      <c r="ER6" s="54" t="s">
        <v>23</v>
      </c>
    </row>
    <row r="7" spans="1:148" ht="33" customHeight="1" x14ac:dyDescent="0.25">
      <c r="D7" t="s">
        <v>12</v>
      </c>
      <c r="EQ7" s="54"/>
      <c r="ER7" s="54"/>
    </row>
    <row r="8" spans="1:148" ht="14.25" customHeight="1" x14ac:dyDescent="0.25">
      <c r="C8" t="s">
        <v>13</v>
      </c>
      <c r="D8" s="5">
        <v>1</v>
      </c>
      <c r="E8" s="5">
        <v>2</v>
      </c>
      <c r="F8" s="5">
        <v>3</v>
      </c>
      <c r="G8" s="5">
        <v>4</v>
      </c>
      <c r="H8" s="5">
        <v>5</v>
      </c>
      <c r="I8" s="5">
        <v>6</v>
      </c>
      <c r="J8" s="5">
        <v>7</v>
      </c>
      <c r="K8" s="5">
        <v>8</v>
      </c>
      <c r="L8" s="5">
        <v>9</v>
      </c>
      <c r="M8" s="5">
        <v>10</v>
      </c>
      <c r="N8" s="5">
        <v>11</v>
      </c>
      <c r="O8" s="5">
        <v>12</v>
      </c>
      <c r="P8" s="5">
        <v>13</v>
      </c>
      <c r="Q8" s="5">
        <v>14</v>
      </c>
      <c r="R8" s="5">
        <v>15</v>
      </c>
      <c r="S8" s="5">
        <v>16</v>
      </c>
      <c r="T8" s="5">
        <v>17</v>
      </c>
      <c r="U8" s="5">
        <v>18</v>
      </c>
      <c r="V8" s="5">
        <v>19</v>
      </c>
      <c r="W8" s="5">
        <v>20</v>
      </c>
      <c r="X8" s="5">
        <v>21</v>
      </c>
      <c r="Y8" s="5">
        <v>22</v>
      </c>
      <c r="Z8" s="5">
        <v>23</v>
      </c>
      <c r="AA8" s="5">
        <v>24</v>
      </c>
      <c r="AB8" s="5">
        <v>25</v>
      </c>
      <c r="AC8" s="5">
        <v>26</v>
      </c>
      <c r="AD8" s="5">
        <v>27</v>
      </c>
      <c r="AE8" s="5">
        <v>28</v>
      </c>
      <c r="AF8" s="5">
        <v>29</v>
      </c>
      <c r="AG8" s="5">
        <v>30</v>
      </c>
      <c r="AH8" s="5">
        <v>31</v>
      </c>
      <c r="AI8" s="5">
        <v>32</v>
      </c>
      <c r="AJ8" s="5">
        <v>33</v>
      </c>
      <c r="AK8" s="5">
        <v>34</v>
      </c>
      <c r="AL8" s="5">
        <v>35</v>
      </c>
      <c r="AM8" s="5">
        <v>36</v>
      </c>
      <c r="AN8" s="5">
        <v>37</v>
      </c>
      <c r="AO8" s="5">
        <v>38</v>
      </c>
      <c r="AP8" s="5">
        <v>39</v>
      </c>
      <c r="AQ8" s="5">
        <v>40</v>
      </c>
      <c r="AR8" s="5">
        <v>41</v>
      </c>
      <c r="AS8" s="5">
        <v>42</v>
      </c>
      <c r="AT8" s="5">
        <v>43</v>
      </c>
      <c r="AU8" s="5">
        <v>44</v>
      </c>
      <c r="AV8" s="5">
        <v>45</v>
      </c>
      <c r="AW8" s="5">
        <v>46</v>
      </c>
      <c r="AX8" s="5">
        <v>47</v>
      </c>
      <c r="AY8" s="5">
        <v>48</v>
      </c>
      <c r="AZ8" s="5">
        <v>49</v>
      </c>
      <c r="BA8" s="5">
        <v>50</v>
      </c>
      <c r="BB8" s="5">
        <v>51</v>
      </c>
      <c r="BC8" s="5">
        <v>52</v>
      </c>
      <c r="BD8" s="5">
        <v>53</v>
      </c>
      <c r="BE8" s="5">
        <v>54</v>
      </c>
      <c r="BF8" s="5">
        <v>55</v>
      </c>
      <c r="BG8" s="5">
        <v>56</v>
      </c>
      <c r="BH8" s="5">
        <v>57</v>
      </c>
      <c r="BI8" s="5">
        <v>58</v>
      </c>
      <c r="BJ8" s="5">
        <v>59</v>
      </c>
      <c r="BK8" s="5">
        <v>60</v>
      </c>
      <c r="BL8" s="5">
        <v>61</v>
      </c>
      <c r="BM8" s="5">
        <v>62</v>
      </c>
      <c r="BN8" s="5">
        <v>63</v>
      </c>
      <c r="BO8" s="5">
        <v>64</v>
      </c>
      <c r="BP8" s="5">
        <v>65</v>
      </c>
      <c r="BQ8" s="5">
        <v>66</v>
      </c>
      <c r="BR8" s="5">
        <v>67</v>
      </c>
      <c r="BS8" s="5">
        <v>68</v>
      </c>
      <c r="BT8" s="5">
        <v>69</v>
      </c>
      <c r="BU8" s="16">
        <v>1</v>
      </c>
      <c r="BV8" s="16">
        <v>2</v>
      </c>
      <c r="BW8" s="16">
        <v>3</v>
      </c>
      <c r="BX8" s="16">
        <v>4</v>
      </c>
      <c r="BY8" s="16">
        <v>5</v>
      </c>
      <c r="BZ8" s="16">
        <v>6</v>
      </c>
      <c r="CA8" s="16">
        <v>7</v>
      </c>
      <c r="CB8" s="16">
        <v>8</v>
      </c>
      <c r="CC8" s="16">
        <v>9</v>
      </c>
      <c r="CD8" s="16">
        <v>10</v>
      </c>
      <c r="CE8" s="16">
        <v>11</v>
      </c>
      <c r="CF8" s="16">
        <v>12</v>
      </c>
      <c r="CG8" s="16">
        <v>13</v>
      </c>
      <c r="CH8" s="16">
        <v>14</v>
      </c>
      <c r="CI8" s="16">
        <v>15</v>
      </c>
      <c r="CJ8" s="16">
        <v>16</v>
      </c>
      <c r="CK8" s="16">
        <v>17</v>
      </c>
      <c r="CL8" s="16">
        <v>18</v>
      </c>
      <c r="CM8" s="16">
        <v>19</v>
      </c>
      <c r="CN8" s="16">
        <v>20</v>
      </c>
      <c r="CO8" s="16">
        <v>21</v>
      </c>
      <c r="CP8" s="16">
        <v>22</v>
      </c>
      <c r="CQ8" s="16">
        <v>23</v>
      </c>
      <c r="CR8" s="16">
        <v>24</v>
      </c>
      <c r="CS8" s="16">
        <v>25</v>
      </c>
      <c r="CT8" s="16">
        <v>26</v>
      </c>
      <c r="CU8" s="16">
        <v>27</v>
      </c>
      <c r="CV8" s="16">
        <v>28</v>
      </c>
      <c r="CW8" s="16">
        <v>29</v>
      </c>
      <c r="CX8" s="16">
        <v>30</v>
      </c>
      <c r="CY8" s="16">
        <v>31</v>
      </c>
      <c r="CZ8" s="16">
        <v>32</v>
      </c>
      <c r="DA8" s="16">
        <v>33</v>
      </c>
      <c r="DB8" s="16">
        <v>34</v>
      </c>
      <c r="DC8" s="16">
        <v>35</v>
      </c>
      <c r="DD8" s="16">
        <v>36</v>
      </c>
      <c r="DE8" s="16">
        <v>37</v>
      </c>
      <c r="DF8" s="16">
        <v>38</v>
      </c>
      <c r="DG8" s="16">
        <v>39</v>
      </c>
      <c r="DH8" s="16">
        <v>40</v>
      </c>
      <c r="DI8" s="16">
        <v>41</v>
      </c>
      <c r="DJ8" s="16">
        <v>42</v>
      </c>
      <c r="DK8" s="16">
        <v>43</v>
      </c>
      <c r="DL8" s="16">
        <v>44</v>
      </c>
      <c r="DM8" s="16">
        <v>45</v>
      </c>
      <c r="DN8" s="16">
        <v>46</v>
      </c>
      <c r="DO8" s="16">
        <v>47</v>
      </c>
      <c r="DP8" s="16">
        <v>48</v>
      </c>
      <c r="DQ8" s="16">
        <v>49</v>
      </c>
      <c r="DR8" s="16">
        <v>50</v>
      </c>
      <c r="DS8" s="16">
        <v>51</v>
      </c>
      <c r="DT8" s="16">
        <v>52</v>
      </c>
      <c r="DU8" s="16">
        <v>53</v>
      </c>
      <c r="DV8" s="16">
        <v>54</v>
      </c>
      <c r="DW8" s="16">
        <v>55</v>
      </c>
      <c r="DX8" s="16">
        <v>56</v>
      </c>
      <c r="DY8" s="16">
        <v>57</v>
      </c>
      <c r="DZ8" s="16">
        <v>58</v>
      </c>
      <c r="EA8" s="16">
        <v>59</v>
      </c>
      <c r="EB8" s="16">
        <v>60</v>
      </c>
      <c r="EC8" s="16">
        <v>61</v>
      </c>
      <c r="ED8" s="16">
        <v>62</v>
      </c>
      <c r="EE8" s="16">
        <v>63</v>
      </c>
      <c r="EF8" s="16">
        <v>64</v>
      </c>
      <c r="EG8" s="16">
        <v>65</v>
      </c>
      <c r="EH8" s="16">
        <v>66</v>
      </c>
      <c r="EI8" s="16">
        <v>67</v>
      </c>
      <c r="EJ8" s="16">
        <v>68</v>
      </c>
      <c r="EK8" s="16">
        <v>69</v>
      </c>
      <c r="EL8" s="16">
        <v>70</v>
      </c>
      <c r="EM8" s="16">
        <v>71</v>
      </c>
      <c r="EN8" s="16">
        <v>72</v>
      </c>
      <c r="EO8" s="16">
        <v>73</v>
      </c>
      <c r="EQ8" s="54"/>
      <c r="ER8" s="54"/>
    </row>
    <row r="9" spans="1:148" x14ac:dyDescent="0.25">
      <c r="B9" s="2">
        <v>1</v>
      </c>
      <c r="C9" s="32" t="str">
        <f>'Liste élèves'!C9</f>
        <v>Elève1</v>
      </c>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Q9" s="8" t="e">
        <f t="shared" ref="EQ9:EQ18" si="0">COUNTIF(D9:BT9,1)/COUNTIF(D9:BT9,"&lt;10")</f>
        <v>#DIV/0!</v>
      </c>
      <c r="ER9" s="8" t="e">
        <f>COUNTIF(BU9:EO9,1)/COUNTIF(BU9:EO9,"&lt;10")</f>
        <v>#DIV/0!</v>
      </c>
    </row>
    <row r="10" spans="1:148" x14ac:dyDescent="0.25">
      <c r="B10" s="2">
        <v>2</v>
      </c>
      <c r="C10" s="3" t="str">
        <f>'Liste élèves'!C10</f>
        <v>Elève2</v>
      </c>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Q10" s="8" t="e">
        <f t="shared" si="0"/>
        <v>#DIV/0!</v>
      </c>
      <c r="ER10" s="8" t="e">
        <f t="shared" ref="ER10:ER18" si="1">COUNTIF(BU10:EO10,1)/COUNTIF(BU10:EO10,"&lt;10")</f>
        <v>#DIV/0!</v>
      </c>
    </row>
    <row r="11" spans="1:148" x14ac:dyDescent="0.25">
      <c r="B11" s="2">
        <v>3</v>
      </c>
      <c r="C11" s="32" t="str">
        <f>'Liste élèves'!C11</f>
        <v>Elève3</v>
      </c>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Q11" s="8" t="e">
        <f t="shared" si="0"/>
        <v>#DIV/0!</v>
      </c>
      <c r="ER11" s="8" t="e">
        <f t="shared" si="1"/>
        <v>#DIV/0!</v>
      </c>
    </row>
    <row r="12" spans="1:148" x14ac:dyDescent="0.25">
      <c r="B12" s="2">
        <v>4</v>
      </c>
      <c r="C12" s="3" t="str">
        <f>'Liste élèves'!C12</f>
        <v>Elève4</v>
      </c>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Q12" s="8" t="e">
        <f t="shared" si="0"/>
        <v>#DIV/0!</v>
      </c>
      <c r="ER12" s="8" t="e">
        <f t="shared" si="1"/>
        <v>#DIV/0!</v>
      </c>
    </row>
    <row r="13" spans="1:148" x14ac:dyDescent="0.25">
      <c r="B13" s="2">
        <v>5</v>
      </c>
      <c r="C13" s="32" t="str">
        <f>'Liste élèves'!C13</f>
        <v>Elève5</v>
      </c>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46"/>
      <c r="EQ13" s="8" t="e">
        <f t="shared" si="0"/>
        <v>#DIV/0!</v>
      </c>
      <c r="ER13" s="8" t="e">
        <f t="shared" si="1"/>
        <v>#DIV/0!</v>
      </c>
    </row>
    <row r="14" spans="1:148" x14ac:dyDescent="0.25">
      <c r="B14" s="2">
        <v>6</v>
      </c>
      <c r="C14" s="3" t="str">
        <f>'Liste élèves'!C14</f>
        <v>Elève6</v>
      </c>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Q14" s="8" t="e">
        <f t="shared" si="0"/>
        <v>#DIV/0!</v>
      </c>
      <c r="ER14" s="8" t="e">
        <f t="shared" si="1"/>
        <v>#DIV/0!</v>
      </c>
    </row>
    <row r="15" spans="1:148" x14ac:dyDescent="0.25">
      <c r="B15" s="2">
        <v>7</v>
      </c>
      <c r="C15" s="32" t="str">
        <f>'Liste élèves'!C15</f>
        <v>Elève7</v>
      </c>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c r="DQ15" s="35"/>
      <c r="DR15" s="35"/>
      <c r="DS15" s="35"/>
      <c r="DT15" s="35"/>
      <c r="DU15" s="35"/>
      <c r="DV15" s="35"/>
      <c r="DW15" s="35"/>
      <c r="DX15" s="35"/>
      <c r="DY15" s="35"/>
      <c r="DZ15" s="35"/>
      <c r="EA15" s="35"/>
      <c r="EB15" s="35"/>
      <c r="EC15" s="35"/>
      <c r="ED15" s="35"/>
      <c r="EE15" s="35"/>
      <c r="EF15" s="35"/>
      <c r="EG15" s="35"/>
      <c r="EH15" s="35"/>
      <c r="EI15" s="35"/>
      <c r="EJ15" s="35"/>
      <c r="EK15" s="35"/>
      <c r="EL15" s="35"/>
      <c r="EM15" s="35"/>
      <c r="EN15" s="35"/>
      <c r="EO15" s="35"/>
      <c r="EQ15" s="8" t="e">
        <f t="shared" si="0"/>
        <v>#DIV/0!</v>
      </c>
      <c r="ER15" s="8" t="e">
        <f t="shared" si="1"/>
        <v>#DIV/0!</v>
      </c>
    </row>
    <row r="16" spans="1:148" x14ac:dyDescent="0.25">
      <c r="B16" s="2">
        <v>8</v>
      </c>
      <c r="C16" s="3" t="str">
        <f>'Liste élèves'!C16</f>
        <v>Elève8</v>
      </c>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Q16" s="8" t="e">
        <f t="shared" si="0"/>
        <v>#DIV/0!</v>
      </c>
      <c r="ER16" s="8" t="e">
        <f t="shared" si="1"/>
        <v>#DIV/0!</v>
      </c>
    </row>
    <row r="17" spans="2:148" x14ac:dyDescent="0.25">
      <c r="B17" s="2">
        <v>9</v>
      </c>
      <c r="C17" s="32" t="str">
        <f>'Liste élèves'!C17</f>
        <v>Elève9</v>
      </c>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Q17" s="8" t="e">
        <f t="shared" si="0"/>
        <v>#DIV/0!</v>
      </c>
      <c r="ER17" s="8" t="e">
        <f t="shared" si="1"/>
        <v>#DIV/0!</v>
      </c>
    </row>
    <row r="18" spans="2:148" x14ac:dyDescent="0.25">
      <c r="B18" s="2">
        <v>10</v>
      </c>
      <c r="C18" s="3" t="str">
        <f>'Liste élèves'!C18</f>
        <v>Elève10</v>
      </c>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Q18" s="8" t="e">
        <f t="shared" si="0"/>
        <v>#DIV/0!</v>
      </c>
      <c r="ER18" s="8" t="e">
        <f t="shared" si="1"/>
        <v>#DIV/0!</v>
      </c>
    </row>
    <row r="19" spans="2:148" x14ac:dyDescent="0.25">
      <c r="D19" s="5">
        <v>1</v>
      </c>
      <c r="E19" s="5">
        <v>2</v>
      </c>
      <c r="F19" s="5">
        <v>3</v>
      </c>
      <c r="G19" s="5">
        <v>4</v>
      </c>
      <c r="H19" s="5">
        <v>5</v>
      </c>
      <c r="I19" s="5">
        <v>6</v>
      </c>
      <c r="J19" s="5">
        <v>7</v>
      </c>
      <c r="K19" s="5">
        <v>8</v>
      </c>
      <c r="L19" s="5">
        <v>9</v>
      </c>
      <c r="M19" s="5">
        <v>10</v>
      </c>
      <c r="N19" s="5">
        <v>11</v>
      </c>
      <c r="O19" s="5">
        <v>12</v>
      </c>
      <c r="P19" s="5">
        <v>13</v>
      </c>
      <c r="Q19" s="5">
        <v>14</v>
      </c>
      <c r="R19" s="5">
        <v>15</v>
      </c>
      <c r="S19" s="5">
        <v>16</v>
      </c>
      <c r="T19" s="5">
        <v>17</v>
      </c>
      <c r="U19" s="5">
        <v>18</v>
      </c>
      <c r="V19" s="5">
        <v>19</v>
      </c>
      <c r="W19" s="5">
        <v>20</v>
      </c>
      <c r="X19" s="5">
        <v>21</v>
      </c>
      <c r="Y19" s="5">
        <v>22</v>
      </c>
      <c r="Z19" s="5">
        <v>23</v>
      </c>
      <c r="AA19" s="5">
        <v>24</v>
      </c>
      <c r="AB19" s="5">
        <v>25</v>
      </c>
      <c r="AC19" s="5">
        <v>26</v>
      </c>
      <c r="AD19" s="5">
        <v>27</v>
      </c>
      <c r="AE19" s="5">
        <v>28</v>
      </c>
      <c r="AF19" s="5">
        <v>29</v>
      </c>
      <c r="AG19" s="5">
        <v>30</v>
      </c>
      <c r="AH19" s="5">
        <v>31</v>
      </c>
      <c r="AI19" s="5">
        <v>32</v>
      </c>
      <c r="AJ19" s="5">
        <v>33</v>
      </c>
      <c r="AK19" s="5">
        <v>34</v>
      </c>
      <c r="AL19" s="5">
        <v>35</v>
      </c>
      <c r="AM19" s="5">
        <v>36</v>
      </c>
      <c r="AN19" s="5">
        <v>37</v>
      </c>
      <c r="AO19" s="5">
        <v>38</v>
      </c>
      <c r="AP19" s="5">
        <v>39</v>
      </c>
      <c r="AQ19" s="5">
        <v>40</v>
      </c>
      <c r="AR19" s="5">
        <v>41</v>
      </c>
      <c r="AS19" s="5">
        <v>42</v>
      </c>
      <c r="AT19" s="5">
        <v>43</v>
      </c>
      <c r="AU19" s="5">
        <v>44</v>
      </c>
      <c r="AV19" s="5">
        <v>45</v>
      </c>
      <c r="AW19" s="5">
        <v>46</v>
      </c>
      <c r="AX19" s="5">
        <v>47</v>
      </c>
      <c r="AY19" s="5">
        <v>48</v>
      </c>
      <c r="AZ19" s="5">
        <v>49</v>
      </c>
      <c r="BA19" s="5">
        <v>50</v>
      </c>
      <c r="BB19" s="5">
        <v>51</v>
      </c>
      <c r="BC19" s="5">
        <v>52</v>
      </c>
      <c r="BD19" s="5">
        <v>53</v>
      </c>
      <c r="BE19" s="5">
        <v>54</v>
      </c>
      <c r="BF19" s="5">
        <v>55</v>
      </c>
      <c r="BG19" s="5">
        <v>56</v>
      </c>
      <c r="BH19" s="5">
        <v>57</v>
      </c>
      <c r="BI19" s="5">
        <v>58</v>
      </c>
      <c r="BJ19" s="5">
        <v>59</v>
      </c>
      <c r="BK19" s="5">
        <v>60</v>
      </c>
      <c r="BL19" s="5">
        <v>61</v>
      </c>
      <c r="BM19" s="5">
        <v>62</v>
      </c>
      <c r="BN19" s="5">
        <v>63</v>
      </c>
      <c r="BO19" s="5">
        <v>64</v>
      </c>
      <c r="BP19" s="5">
        <v>65</v>
      </c>
      <c r="BQ19" s="5">
        <v>66</v>
      </c>
      <c r="BR19" s="5">
        <v>67</v>
      </c>
      <c r="BS19" s="5">
        <v>68</v>
      </c>
      <c r="BT19" s="5">
        <v>69</v>
      </c>
      <c r="BU19" s="16">
        <v>1</v>
      </c>
      <c r="BV19" s="16">
        <v>2</v>
      </c>
      <c r="BW19" s="16">
        <v>3</v>
      </c>
      <c r="BX19" s="16">
        <v>4</v>
      </c>
      <c r="BY19" s="16">
        <v>5</v>
      </c>
      <c r="BZ19" s="16">
        <v>6</v>
      </c>
      <c r="CA19" s="16">
        <v>7</v>
      </c>
      <c r="CB19" s="16">
        <v>8</v>
      </c>
      <c r="CC19" s="16">
        <v>9</v>
      </c>
      <c r="CD19" s="16">
        <v>10</v>
      </c>
      <c r="CE19" s="16">
        <v>11</v>
      </c>
      <c r="CF19" s="16">
        <v>12</v>
      </c>
      <c r="CG19" s="16">
        <v>13</v>
      </c>
      <c r="CH19" s="16">
        <v>14</v>
      </c>
      <c r="CI19" s="16">
        <v>15</v>
      </c>
      <c r="CJ19" s="16">
        <v>16</v>
      </c>
      <c r="CK19" s="16">
        <v>17</v>
      </c>
      <c r="CL19" s="16">
        <v>18</v>
      </c>
      <c r="CM19" s="16">
        <v>19</v>
      </c>
      <c r="CN19" s="16">
        <v>20</v>
      </c>
      <c r="CO19" s="16">
        <v>21</v>
      </c>
      <c r="CP19" s="16">
        <v>22</v>
      </c>
      <c r="CQ19" s="16">
        <v>23</v>
      </c>
      <c r="CR19" s="16">
        <v>24</v>
      </c>
      <c r="CS19" s="16">
        <v>25</v>
      </c>
      <c r="CT19" s="16">
        <v>26</v>
      </c>
      <c r="CU19" s="16">
        <v>27</v>
      </c>
      <c r="CV19" s="16">
        <v>28</v>
      </c>
      <c r="CW19" s="16">
        <v>29</v>
      </c>
      <c r="CX19" s="16">
        <v>30</v>
      </c>
      <c r="CY19" s="16">
        <v>31</v>
      </c>
      <c r="CZ19" s="16">
        <v>32</v>
      </c>
      <c r="DA19" s="16">
        <v>33</v>
      </c>
      <c r="DB19" s="16">
        <v>34</v>
      </c>
      <c r="DC19" s="16">
        <v>35</v>
      </c>
      <c r="DD19" s="16">
        <v>36</v>
      </c>
      <c r="DE19" s="16">
        <v>37</v>
      </c>
      <c r="DF19" s="16">
        <v>38</v>
      </c>
      <c r="DG19" s="16">
        <v>39</v>
      </c>
      <c r="DH19" s="16">
        <v>40</v>
      </c>
      <c r="DI19" s="16">
        <v>41</v>
      </c>
      <c r="DJ19" s="16">
        <v>42</v>
      </c>
      <c r="DK19" s="16">
        <v>43</v>
      </c>
      <c r="DL19" s="16">
        <v>44</v>
      </c>
      <c r="DM19" s="16">
        <v>45</v>
      </c>
      <c r="DN19" s="16">
        <v>46</v>
      </c>
      <c r="DO19" s="16">
        <v>47</v>
      </c>
      <c r="DP19" s="16">
        <v>48</v>
      </c>
      <c r="DQ19" s="16">
        <v>49</v>
      </c>
      <c r="DR19" s="16">
        <v>50</v>
      </c>
      <c r="DS19" s="16">
        <v>51</v>
      </c>
      <c r="DT19" s="16">
        <v>52</v>
      </c>
      <c r="DU19" s="16">
        <v>53</v>
      </c>
      <c r="DV19" s="16">
        <v>54</v>
      </c>
      <c r="DW19" s="16">
        <v>55</v>
      </c>
      <c r="DX19" s="16">
        <v>56</v>
      </c>
      <c r="DY19" s="16">
        <v>57</v>
      </c>
      <c r="DZ19" s="16">
        <v>58</v>
      </c>
      <c r="EA19" s="16">
        <v>59</v>
      </c>
      <c r="EB19" s="16">
        <v>60</v>
      </c>
      <c r="EC19" s="16">
        <v>61</v>
      </c>
      <c r="ED19" s="16">
        <v>62</v>
      </c>
      <c r="EE19" s="16">
        <v>63</v>
      </c>
      <c r="EF19" s="16">
        <v>64</v>
      </c>
      <c r="EG19" s="16">
        <v>65</v>
      </c>
      <c r="EH19" s="16">
        <v>66</v>
      </c>
      <c r="EI19" s="16">
        <v>67</v>
      </c>
      <c r="EJ19" s="16">
        <v>68</v>
      </c>
      <c r="EK19" s="16">
        <v>69</v>
      </c>
      <c r="EL19" s="16">
        <v>70</v>
      </c>
      <c r="EM19" s="16">
        <v>71</v>
      </c>
      <c r="EN19" s="16">
        <v>72</v>
      </c>
      <c r="EO19" s="16">
        <v>73</v>
      </c>
    </row>
    <row r="20" spans="2:148" x14ac:dyDescent="0.25">
      <c r="C20" t="s">
        <v>17</v>
      </c>
      <c r="D20" s="4">
        <f t="shared" ref="D20:AI20" si="2">COUNTIF(D9:D18,1)</f>
        <v>0</v>
      </c>
      <c r="E20" s="4">
        <f t="shared" si="2"/>
        <v>0</v>
      </c>
      <c r="F20" s="4">
        <f t="shared" si="2"/>
        <v>0</v>
      </c>
      <c r="G20" s="4">
        <f t="shared" si="2"/>
        <v>0</v>
      </c>
      <c r="H20" s="4">
        <f t="shared" si="2"/>
        <v>0</v>
      </c>
      <c r="I20" s="4">
        <f t="shared" si="2"/>
        <v>0</v>
      </c>
      <c r="J20" s="4">
        <f t="shared" si="2"/>
        <v>0</v>
      </c>
      <c r="K20" s="4">
        <f t="shared" si="2"/>
        <v>0</v>
      </c>
      <c r="L20" s="4">
        <f t="shared" si="2"/>
        <v>0</v>
      </c>
      <c r="M20" s="4">
        <f t="shared" si="2"/>
        <v>0</v>
      </c>
      <c r="N20" s="4">
        <f t="shared" si="2"/>
        <v>0</v>
      </c>
      <c r="O20" s="4">
        <f t="shared" si="2"/>
        <v>0</v>
      </c>
      <c r="P20" s="4">
        <f t="shared" si="2"/>
        <v>0</v>
      </c>
      <c r="Q20" s="4">
        <f t="shared" si="2"/>
        <v>0</v>
      </c>
      <c r="R20" s="4">
        <f t="shared" si="2"/>
        <v>0</v>
      </c>
      <c r="S20" s="4">
        <f t="shared" si="2"/>
        <v>0</v>
      </c>
      <c r="T20" s="4">
        <f t="shared" si="2"/>
        <v>0</v>
      </c>
      <c r="U20" s="4">
        <f t="shared" si="2"/>
        <v>0</v>
      </c>
      <c r="V20" s="4">
        <f t="shared" si="2"/>
        <v>0</v>
      </c>
      <c r="W20" s="4">
        <f t="shared" si="2"/>
        <v>0</v>
      </c>
      <c r="X20" s="4">
        <f t="shared" si="2"/>
        <v>0</v>
      </c>
      <c r="Y20" s="4">
        <f t="shared" si="2"/>
        <v>0</v>
      </c>
      <c r="Z20" s="4">
        <f t="shared" si="2"/>
        <v>0</v>
      </c>
      <c r="AA20" s="4">
        <f t="shared" si="2"/>
        <v>0</v>
      </c>
      <c r="AB20" s="4">
        <f t="shared" si="2"/>
        <v>0</v>
      </c>
      <c r="AC20" s="4">
        <f t="shared" si="2"/>
        <v>0</v>
      </c>
      <c r="AD20" s="4">
        <f t="shared" si="2"/>
        <v>0</v>
      </c>
      <c r="AE20" s="4">
        <f t="shared" si="2"/>
        <v>0</v>
      </c>
      <c r="AF20" s="4">
        <f t="shared" si="2"/>
        <v>0</v>
      </c>
      <c r="AG20" s="4">
        <f t="shared" si="2"/>
        <v>0</v>
      </c>
      <c r="AH20" s="4">
        <f t="shared" si="2"/>
        <v>0</v>
      </c>
      <c r="AI20" s="4">
        <f t="shared" si="2"/>
        <v>0</v>
      </c>
      <c r="AJ20" s="4">
        <f t="shared" ref="AJ20:BO20" si="3">COUNTIF(AJ9:AJ18,1)</f>
        <v>0</v>
      </c>
      <c r="AK20" s="4">
        <f t="shared" si="3"/>
        <v>0</v>
      </c>
      <c r="AL20" s="4">
        <f t="shared" si="3"/>
        <v>0</v>
      </c>
      <c r="AM20" s="4">
        <f t="shared" si="3"/>
        <v>0</v>
      </c>
      <c r="AN20" s="4">
        <f t="shared" si="3"/>
        <v>0</v>
      </c>
      <c r="AO20" s="4">
        <f t="shared" si="3"/>
        <v>0</v>
      </c>
      <c r="AP20" s="4">
        <f t="shared" si="3"/>
        <v>0</v>
      </c>
      <c r="AQ20" s="4">
        <f t="shared" si="3"/>
        <v>0</v>
      </c>
      <c r="AR20" s="4">
        <f t="shared" si="3"/>
        <v>0</v>
      </c>
      <c r="AS20" s="4">
        <f t="shared" si="3"/>
        <v>0</v>
      </c>
      <c r="AT20" s="4">
        <f t="shared" si="3"/>
        <v>0</v>
      </c>
      <c r="AU20" s="4">
        <f t="shared" si="3"/>
        <v>0</v>
      </c>
      <c r="AV20" s="4">
        <f t="shared" si="3"/>
        <v>0</v>
      </c>
      <c r="AW20" s="4">
        <f t="shared" si="3"/>
        <v>0</v>
      </c>
      <c r="AX20" s="4">
        <f t="shared" si="3"/>
        <v>0</v>
      </c>
      <c r="AY20" s="4">
        <f t="shared" si="3"/>
        <v>0</v>
      </c>
      <c r="AZ20" s="4">
        <f t="shared" si="3"/>
        <v>0</v>
      </c>
      <c r="BA20" s="4">
        <f t="shared" si="3"/>
        <v>0</v>
      </c>
      <c r="BB20" s="4">
        <f t="shared" si="3"/>
        <v>0</v>
      </c>
      <c r="BC20" s="4">
        <f t="shared" si="3"/>
        <v>0</v>
      </c>
      <c r="BD20" s="4">
        <f t="shared" si="3"/>
        <v>0</v>
      </c>
      <c r="BE20" s="4">
        <f t="shared" si="3"/>
        <v>0</v>
      </c>
      <c r="BF20" s="4">
        <f t="shared" si="3"/>
        <v>0</v>
      </c>
      <c r="BG20" s="4">
        <f t="shared" si="3"/>
        <v>0</v>
      </c>
      <c r="BH20" s="4">
        <f t="shared" si="3"/>
        <v>0</v>
      </c>
      <c r="BI20" s="4">
        <f t="shared" si="3"/>
        <v>0</v>
      </c>
      <c r="BJ20" s="4">
        <f t="shared" si="3"/>
        <v>0</v>
      </c>
      <c r="BK20" s="4">
        <f t="shared" si="3"/>
        <v>0</v>
      </c>
      <c r="BL20" s="4">
        <f t="shared" si="3"/>
        <v>0</v>
      </c>
      <c r="BM20" s="4">
        <f t="shared" si="3"/>
        <v>0</v>
      </c>
      <c r="BN20" s="4">
        <f t="shared" si="3"/>
        <v>0</v>
      </c>
      <c r="BO20" s="4">
        <f t="shared" si="3"/>
        <v>0</v>
      </c>
      <c r="BP20" s="4">
        <f t="shared" ref="BP20:CU20" si="4">COUNTIF(BP9:BP18,1)</f>
        <v>0</v>
      </c>
      <c r="BQ20" s="4">
        <f t="shared" si="4"/>
        <v>0</v>
      </c>
      <c r="BR20" s="4">
        <f t="shared" si="4"/>
        <v>0</v>
      </c>
      <c r="BS20" s="4">
        <f t="shared" si="4"/>
        <v>0</v>
      </c>
      <c r="BT20" s="4">
        <f t="shared" si="4"/>
        <v>0</v>
      </c>
      <c r="BU20" s="4">
        <f t="shared" si="4"/>
        <v>0</v>
      </c>
      <c r="BV20" s="4">
        <f t="shared" si="4"/>
        <v>0</v>
      </c>
      <c r="BW20" s="4">
        <f t="shared" si="4"/>
        <v>0</v>
      </c>
      <c r="BX20" s="4">
        <f t="shared" si="4"/>
        <v>0</v>
      </c>
      <c r="BY20" s="4">
        <f t="shared" si="4"/>
        <v>0</v>
      </c>
      <c r="BZ20" s="4">
        <f t="shared" si="4"/>
        <v>0</v>
      </c>
      <c r="CA20" s="4">
        <f t="shared" si="4"/>
        <v>0</v>
      </c>
      <c r="CB20" s="4">
        <f t="shared" si="4"/>
        <v>0</v>
      </c>
      <c r="CC20" s="4">
        <f t="shared" si="4"/>
        <v>0</v>
      </c>
      <c r="CD20" s="4">
        <f t="shared" si="4"/>
        <v>0</v>
      </c>
      <c r="CE20" s="4">
        <f t="shared" si="4"/>
        <v>0</v>
      </c>
      <c r="CF20" s="4">
        <f t="shared" si="4"/>
        <v>0</v>
      </c>
      <c r="CG20" s="4">
        <f t="shared" si="4"/>
        <v>0</v>
      </c>
      <c r="CH20" s="4">
        <f t="shared" si="4"/>
        <v>0</v>
      </c>
      <c r="CI20" s="4">
        <f t="shared" si="4"/>
        <v>0</v>
      </c>
      <c r="CJ20" s="4">
        <f t="shared" si="4"/>
        <v>0</v>
      </c>
      <c r="CK20" s="4">
        <f t="shared" si="4"/>
        <v>0</v>
      </c>
      <c r="CL20" s="4">
        <f t="shared" si="4"/>
        <v>0</v>
      </c>
      <c r="CM20" s="4">
        <f t="shared" si="4"/>
        <v>0</v>
      </c>
      <c r="CN20" s="4">
        <f t="shared" si="4"/>
        <v>0</v>
      </c>
      <c r="CO20" s="4">
        <f t="shared" si="4"/>
        <v>0</v>
      </c>
      <c r="CP20" s="4">
        <f t="shared" si="4"/>
        <v>0</v>
      </c>
      <c r="CQ20" s="4">
        <f t="shared" si="4"/>
        <v>0</v>
      </c>
      <c r="CR20" s="4">
        <f t="shared" si="4"/>
        <v>0</v>
      </c>
      <c r="CS20" s="4">
        <f t="shared" si="4"/>
        <v>0</v>
      </c>
      <c r="CT20" s="4">
        <f t="shared" si="4"/>
        <v>0</v>
      </c>
      <c r="CU20" s="4">
        <f t="shared" si="4"/>
        <v>0</v>
      </c>
      <c r="CV20" s="4">
        <f t="shared" ref="CV20:EA20" si="5">COUNTIF(CV9:CV18,1)</f>
        <v>0</v>
      </c>
      <c r="CW20" s="4">
        <f t="shared" si="5"/>
        <v>0</v>
      </c>
      <c r="CX20" s="4">
        <f t="shared" si="5"/>
        <v>0</v>
      </c>
      <c r="CY20" s="4">
        <f t="shared" si="5"/>
        <v>0</v>
      </c>
      <c r="CZ20" s="4">
        <f t="shared" si="5"/>
        <v>0</v>
      </c>
      <c r="DA20" s="4">
        <f t="shared" si="5"/>
        <v>0</v>
      </c>
      <c r="DB20" s="4">
        <f t="shared" si="5"/>
        <v>0</v>
      </c>
      <c r="DC20" s="4">
        <f t="shared" si="5"/>
        <v>0</v>
      </c>
      <c r="DD20" s="4">
        <f t="shared" si="5"/>
        <v>0</v>
      </c>
      <c r="DE20" s="4">
        <f t="shared" si="5"/>
        <v>0</v>
      </c>
      <c r="DF20" s="4">
        <f t="shared" si="5"/>
        <v>0</v>
      </c>
      <c r="DG20" s="4">
        <f t="shared" si="5"/>
        <v>0</v>
      </c>
      <c r="DH20" s="4">
        <f t="shared" si="5"/>
        <v>0</v>
      </c>
      <c r="DI20" s="4">
        <f t="shared" si="5"/>
        <v>0</v>
      </c>
      <c r="DJ20" s="4">
        <f t="shared" si="5"/>
        <v>0</v>
      </c>
      <c r="DK20" s="4">
        <f t="shared" si="5"/>
        <v>0</v>
      </c>
      <c r="DL20" s="4">
        <f t="shared" si="5"/>
        <v>0</v>
      </c>
      <c r="DM20" s="4">
        <f t="shared" si="5"/>
        <v>0</v>
      </c>
      <c r="DN20" s="4">
        <f t="shared" si="5"/>
        <v>0</v>
      </c>
      <c r="DO20" s="4">
        <f t="shared" si="5"/>
        <v>0</v>
      </c>
      <c r="DP20" s="4">
        <f t="shared" si="5"/>
        <v>0</v>
      </c>
      <c r="DQ20" s="4">
        <f t="shared" si="5"/>
        <v>0</v>
      </c>
      <c r="DR20" s="4">
        <f t="shared" si="5"/>
        <v>0</v>
      </c>
      <c r="DS20" s="4">
        <f t="shared" si="5"/>
        <v>0</v>
      </c>
      <c r="DT20" s="4">
        <f t="shared" si="5"/>
        <v>0</v>
      </c>
      <c r="DU20" s="4">
        <f t="shared" si="5"/>
        <v>0</v>
      </c>
      <c r="DV20" s="4">
        <f t="shared" si="5"/>
        <v>0</v>
      </c>
      <c r="DW20" s="4">
        <f t="shared" si="5"/>
        <v>0</v>
      </c>
      <c r="DX20" s="4">
        <f t="shared" si="5"/>
        <v>0</v>
      </c>
      <c r="DY20" s="4">
        <f t="shared" si="5"/>
        <v>0</v>
      </c>
      <c r="DZ20" s="4">
        <f t="shared" si="5"/>
        <v>0</v>
      </c>
      <c r="EA20" s="4">
        <f t="shared" si="5"/>
        <v>0</v>
      </c>
      <c r="EB20" s="4">
        <f t="shared" ref="EB20:EO20" si="6">COUNTIF(EB9:EB18,1)</f>
        <v>0</v>
      </c>
      <c r="EC20" s="4">
        <f t="shared" si="6"/>
        <v>0</v>
      </c>
      <c r="ED20" s="4">
        <f t="shared" si="6"/>
        <v>0</v>
      </c>
      <c r="EE20" s="4">
        <f t="shared" si="6"/>
        <v>0</v>
      </c>
      <c r="EF20" s="4">
        <f t="shared" si="6"/>
        <v>0</v>
      </c>
      <c r="EG20" s="4">
        <f t="shared" si="6"/>
        <v>0</v>
      </c>
      <c r="EH20" s="4">
        <f t="shared" si="6"/>
        <v>0</v>
      </c>
      <c r="EI20" s="4">
        <f t="shared" si="6"/>
        <v>0</v>
      </c>
      <c r="EJ20" s="4">
        <f t="shared" si="6"/>
        <v>0</v>
      </c>
      <c r="EK20" s="4">
        <f t="shared" si="6"/>
        <v>0</v>
      </c>
      <c r="EL20" s="4">
        <f t="shared" si="6"/>
        <v>0</v>
      </c>
      <c r="EM20" s="4">
        <f t="shared" si="6"/>
        <v>0</v>
      </c>
      <c r="EN20" s="4">
        <f t="shared" si="6"/>
        <v>0</v>
      </c>
      <c r="EO20" s="4">
        <f t="shared" si="6"/>
        <v>0</v>
      </c>
    </row>
    <row r="21" spans="2:148" x14ac:dyDescent="0.25">
      <c r="C21" t="s">
        <v>18</v>
      </c>
      <c r="D21" s="4">
        <f t="shared" ref="D21:AI21" si="7">COUNTIF(D9:D18,9)</f>
        <v>0</v>
      </c>
      <c r="E21" s="4">
        <f t="shared" si="7"/>
        <v>0</v>
      </c>
      <c r="F21" s="4">
        <f t="shared" si="7"/>
        <v>0</v>
      </c>
      <c r="G21" s="4">
        <f t="shared" si="7"/>
        <v>0</v>
      </c>
      <c r="H21" s="4">
        <f t="shared" si="7"/>
        <v>0</v>
      </c>
      <c r="I21" s="4">
        <f t="shared" si="7"/>
        <v>0</v>
      </c>
      <c r="J21" s="4">
        <f t="shared" si="7"/>
        <v>0</v>
      </c>
      <c r="K21" s="4">
        <f t="shared" si="7"/>
        <v>0</v>
      </c>
      <c r="L21" s="4">
        <f t="shared" si="7"/>
        <v>0</v>
      </c>
      <c r="M21" s="4">
        <f t="shared" si="7"/>
        <v>0</v>
      </c>
      <c r="N21" s="4">
        <f t="shared" si="7"/>
        <v>0</v>
      </c>
      <c r="O21" s="4">
        <f t="shared" si="7"/>
        <v>0</v>
      </c>
      <c r="P21" s="4">
        <f t="shared" si="7"/>
        <v>0</v>
      </c>
      <c r="Q21" s="4">
        <f t="shared" si="7"/>
        <v>0</v>
      </c>
      <c r="R21" s="4">
        <f t="shared" si="7"/>
        <v>0</v>
      </c>
      <c r="S21" s="4">
        <f t="shared" si="7"/>
        <v>0</v>
      </c>
      <c r="T21" s="4">
        <f t="shared" si="7"/>
        <v>0</v>
      </c>
      <c r="U21" s="4">
        <f t="shared" si="7"/>
        <v>0</v>
      </c>
      <c r="V21" s="4">
        <f t="shared" si="7"/>
        <v>0</v>
      </c>
      <c r="W21" s="4">
        <f t="shared" si="7"/>
        <v>0</v>
      </c>
      <c r="X21" s="4">
        <f t="shared" si="7"/>
        <v>0</v>
      </c>
      <c r="Y21" s="4">
        <f t="shared" si="7"/>
        <v>0</v>
      </c>
      <c r="Z21" s="4">
        <f t="shared" si="7"/>
        <v>0</v>
      </c>
      <c r="AA21" s="4">
        <f t="shared" si="7"/>
        <v>0</v>
      </c>
      <c r="AB21" s="4">
        <f t="shared" si="7"/>
        <v>0</v>
      </c>
      <c r="AC21" s="4">
        <f t="shared" si="7"/>
        <v>0</v>
      </c>
      <c r="AD21" s="4">
        <f t="shared" si="7"/>
        <v>0</v>
      </c>
      <c r="AE21" s="4">
        <f t="shared" si="7"/>
        <v>0</v>
      </c>
      <c r="AF21" s="4">
        <f t="shared" si="7"/>
        <v>0</v>
      </c>
      <c r="AG21" s="4">
        <f t="shared" si="7"/>
        <v>0</v>
      </c>
      <c r="AH21" s="4">
        <f t="shared" si="7"/>
        <v>0</v>
      </c>
      <c r="AI21" s="4">
        <f t="shared" si="7"/>
        <v>0</v>
      </c>
      <c r="AJ21" s="4">
        <f t="shared" ref="AJ21:BO21" si="8">COUNTIF(AJ9:AJ18,9)</f>
        <v>0</v>
      </c>
      <c r="AK21" s="4">
        <f t="shared" si="8"/>
        <v>0</v>
      </c>
      <c r="AL21" s="4">
        <f t="shared" si="8"/>
        <v>0</v>
      </c>
      <c r="AM21" s="4">
        <f t="shared" si="8"/>
        <v>0</v>
      </c>
      <c r="AN21" s="4">
        <f t="shared" si="8"/>
        <v>0</v>
      </c>
      <c r="AO21" s="4">
        <f t="shared" si="8"/>
        <v>0</v>
      </c>
      <c r="AP21" s="4">
        <f t="shared" si="8"/>
        <v>0</v>
      </c>
      <c r="AQ21" s="4">
        <f t="shared" si="8"/>
        <v>0</v>
      </c>
      <c r="AR21" s="4">
        <f t="shared" si="8"/>
        <v>0</v>
      </c>
      <c r="AS21" s="4">
        <f t="shared" si="8"/>
        <v>0</v>
      </c>
      <c r="AT21" s="4">
        <f t="shared" si="8"/>
        <v>0</v>
      </c>
      <c r="AU21" s="4">
        <f t="shared" si="8"/>
        <v>0</v>
      </c>
      <c r="AV21" s="4">
        <f t="shared" si="8"/>
        <v>0</v>
      </c>
      <c r="AW21" s="4">
        <f t="shared" si="8"/>
        <v>0</v>
      </c>
      <c r="AX21" s="4">
        <f t="shared" si="8"/>
        <v>0</v>
      </c>
      <c r="AY21" s="4">
        <f t="shared" si="8"/>
        <v>0</v>
      </c>
      <c r="AZ21" s="4">
        <f t="shared" si="8"/>
        <v>0</v>
      </c>
      <c r="BA21" s="4">
        <f t="shared" si="8"/>
        <v>0</v>
      </c>
      <c r="BB21" s="4">
        <f t="shared" si="8"/>
        <v>0</v>
      </c>
      <c r="BC21" s="4">
        <f t="shared" si="8"/>
        <v>0</v>
      </c>
      <c r="BD21" s="4">
        <f t="shared" si="8"/>
        <v>0</v>
      </c>
      <c r="BE21" s="4">
        <f t="shared" si="8"/>
        <v>0</v>
      </c>
      <c r="BF21" s="4">
        <f t="shared" si="8"/>
        <v>0</v>
      </c>
      <c r="BG21" s="4">
        <f t="shared" si="8"/>
        <v>0</v>
      </c>
      <c r="BH21" s="4">
        <f t="shared" si="8"/>
        <v>0</v>
      </c>
      <c r="BI21" s="4">
        <f t="shared" si="8"/>
        <v>0</v>
      </c>
      <c r="BJ21" s="4">
        <f t="shared" si="8"/>
        <v>0</v>
      </c>
      <c r="BK21" s="4">
        <f t="shared" si="8"/>
        <v>0</v>
      </c>
      <c r="BL21" s="4">
        <f t="shared" si="8"/>
        <v>0</v>
      </c>
      <c r="BM21" s="4">
        <f t="shared" si="8"/>
        <v>0</v>
      </c>
      <c r="BN21" s="4">
        <f t="shared" si="8"/>
        <v>0</v>
      </c>
      <c r="BO21" s="4">
        <f t="shared" si="8"/>
        <v>0</v>
      </c>
      <c r="BP21" s="4">
        <f t="shared" ref="BP21:CU21" si="9">COUNTIF(BP9:BP18,9)</f>
        <v>0</v>
      </c>
      <c r="BQ21" s="4">
        <f t="shared" si="9"/>
        <v>0</v>
      </c>
      <c r="BR21" s="4">
        <f t="shared" si="9"/>
        <v>0</v>
      </c>
      <c r="BS21" s="4">
        <f t="shared" si="9"/>
        <v>0</v>
      </c>
      <c r="BT21" s="4">
        <f t="shared" si="9"/>
        <v>0</v>
      </c>
      <c r="BU21" s="4">
        <f t="shared" si="9"/>
        <v>0</v>
      </c>
      <c r="BV21" s="4">
        <f t="shared" si="9"/>
        <v>0</v>
      </c>
      <c r="BW21" s="4">
        <f t="shared" si="9"/>
        <v>0</v>
      </c>
      <c r="BX21" s="4">
        <f t="shared" si="9"/>
        <v>0</v>
      </c>
      <c r="BY21" s="4">
        <f t="shared" si="9"/>
        <v>0</v>
      </c>
      <c r="BZ21" s="4">
        <f t="shared" si="9"/>
        <v>0</v>
      </c>
      <c r="CA21" s="4">
        <f t="shared" si="9"/>
        <v>0</v>
      </c>
      <c r="CB21" s="4">
        <f t="shared" si="9"/>
        <v>0</v>
      </c>
      <c r="CC21" s="4">
        <f t="shared" si="9"/>
        <v>0</v>
      </c>
      <c r="CD21" s="4">
        <f t="shared" si="9"/>
        <v>0</v>
      </c>
      <c r="CE21" s="4">
        <f t="shared" si="9"/>
        <v>0</v>
      </c>
      <c r="CF21" s="4">
        <f t="shared" si="9"/>
        <v>0</v>
      </c>
      <c r="CG21" s="4">
        <f t="shared" si="9"/>
        <v>0</v>
      </c>
      <c r="CH21" s="4">
        <f t="shared" si="9"/>
        <v>0</v>
      </c>
      <c r="CI21" s="4">
        <f t="shared" si="9"/>
        <v>0</v>
      </c>
      <c r="CJ21" s="4">
        <f t="shared" si="9"/>
        <v>0</v>
      </c>
      <c r="CK21" s="4">
        <f t="shared" si="9"/>
        <v>0</v>
      </c>
      <c r="CL21" s="4">
        <f t="shared" si="9"/>
        <v>0</v>
      </c>
      <c r="CM21" s="4">
        <f t="shared" si="9"/>
        <v>0</v>
      </c>
      <c r="CN21" s="4">
        <f t="shared" si="9"/>
        <v>0</v>
      </c>
      <c r="CO21" s="4">
        <f t="shared" si="9"/>
        <v>0</v>
      </c>
      <c r="CP21" s="4">
        <f t="shared" si="9"/>
        <v>0</v>
      </c>
      <c r="CQ21" s="4">
        <f t="shared" si="9"/>
        <v>0</v>
      </c>
      <c r="CR21" s="4">
        <f t="shared" si="9"/>
        <v>0</v>
      </c>
      <c r="CS21" s="4">
        <f t="shared" si="9"/>
        <v>0</v>
      </c>
      <c r="CT21" s="4">
        <f t="shared" si="9"/>
        <v>0</v>
      </c>
      <c r="CU21" s="4">
        <f t="shared" si="9"/>
        <v>0</v>
      </c>
      <c r="CV21" s="4">
        <f t="shared" ref="CV21:EA21" si="10">COUNTIF(CV9:CV18,9)</f>
        <v>0</v>
      </c>
      <c r="CW21" s="4">
        <f t="shared" si="10"/>
        <v>0</v>
      </c>
      <c r="CX21" s="4">
        <f t="shared" si="10"/>
        <v>0</v>
      </c>
      <c r="CY21" s="4">
        <f t="shared" si="10"/>
        <v>0</v>
      </c>
      <c r="CZ21" s="4">
        <f t="shared" si="10"/>
        <v>0</v>
      </c>
      <c r="DA21" s="4">
        <f t="shared" si="10"/>
        <v>0</v>
      </c>
      <c r="DB21" s="4">
        <f t="shared" si="10"/>
        <v>0</v>
      </c>
      <c r="DC21" s="4">
        <f t="shared" si="10"/>
        <v>0</v>
      </c>
      <c r="DD21" s="4">
        <f t="shared" si="10"/>
        <v>0</v>
      </c>
      <c r="DE21" s="4">
        <f t="shared" si="10"/>
        <v>0</v>
      </c>
      <c r="DF21" s="4">
        <f t="shared" si="10"/>
        <v>0</v>
      </c>
      <c r="DG21" s="4">
        <f t="shared" si="10"/>
        <v>0</v>
      </c>
      <c r="DH21" s="4">
        <f t="shared" si="10"/>
        <v>0</v>
      </c>
      <c r="DI21" s="4">
        <f t="shared" si="10"/>
        <v>0</v>
      </c>
      <c r="DJ21" s="4">
        <f t="shared" si="10"/>
        <v>0</v>
      </c>
      <c r="DK21" s="4">
        <f t="shared" si="10"/>
        <v>0</v>
      </c>
      <c r="DL21" s="4">
        <f t="shared" si="10"/>
        <v>0</v>
      </c>
      <c r="DM21" s="4">
        <f t="shared" si="10"/>
        <v>0</v>
      </c>
      <c r="DN21" s="4">
        <f t="shared" si="10"/>
        <v>0</v>
      </c>
      <c r="DO21" s="4">
        <f t="shared" si="10"/>
        <v>0</v>
      </c>
      <c r="DP21" s="4">
        <f t="shared" si="10"/>
        <v>0</v>
      </c>
      <c r="DQ21" s="4">
        <f t="shared" si="10"/>
        <v>0</v>
      </c>
      <c r="DR21" s="4">
        <f t="shared" si="10"/>
        <v>0</v>
      </c>
      <c r="DS21" s="4">
        <f t="shared" si="10"/>
        <v>0</v>
      </c>
      <c r="DT21" s="4">
        <f t="shared" si="10"/>
        <v>0</v>
      </c>
      <c r="DU21" s="4">
        <f t="shared" si="10"/>
        <v>0</v>
      </c>
      <c r="DV21" s="4">
        <f t="shared" si="10"/>
        <v>0</v>
      </c>
      <c r="DW21" s="4">
        <f t="shared" si="10"/>
        <v>0</v>
      </c>
      <c r="DX21" s="4">
        <f t="shared" si="10"/>
        <v>0</v>
      </c>
      <c r="DY21" s="4">
        <f t="shared" si="10"/>
        <v>0</v>
      </c>
      <c r="DZ21" s="4">
        <f t="shared" si="10"/>
        <v>0</v>
      </c>
      <c r="EA21" s="4">
        <f t="shared" si="10"/>
        <v>0</v>
      </c>
      <c r="EB21" s="4">
        <f t="shared" ref="EB21:EO21" si="11">COUNTIF(EB9:EB18,9)</f>
        <v>0</v>
      </c>
      <c r="EC21" s="4">
        <f t="shared" si="11"/>
        <v>0</v>
      </c>
      <c r="ED21" s="4">
        <f t="shared" si="11"/>
        <v>0</v>
      </c>
      <c r="EE21" s="4">
        <f t="shared" si="11"/>
        <v>0</v>
      </c>
      <c r="EF21" s="4">
        <f t="shared" si="11"/>
        <v>0</v>
      </c>
      <c r="EG21" s="4">
        <f t="shared" si="11"/>
        <v>0</v>
      </c>
      <c r="EH21" s="4">
        <f t="shared" si="11"/>
        <v>0</v>
      </c>
      <c r="EI21" s="4">
        <f t="shared" si="11"/>
        <v>0</v>
      </c>
      <c r="EJ21" s="4">
        <f t="shared" si="11"/>
        <v>0</v>
      </c>
      <c r="EK21" s="4">
        <f t="shared" si="11"/>
        <v>0</v>
      </c>
      <c r="EL21" s="4">
        <f t="shared" si="11"/>
        <v>0</v>
      </c>
      <c r="EM21" s="4">
        <f t="shared" si="11"/>
        <v>0</v>
      </c>
      <c r="EN21" s="4">
        <f t="shared" si="11"/>
        <v>0</v>
      </c>
      <c r="EO21" s="4">
        <f t="shared" si="11"/>
        <v>0</v>
      </c>
    </row>
    <row r="22" spans="2:148" x14ac:dyDescent="0.25">
      <c r="C22" t="s">
        <v>19</v>
      </c>
      <c r="D22" s="4">
        <f t="shared" ref="D22:AI22" si="12">COUNTIF(D9:D18,0)</f>
        <v>0</v>
      </c>
      <c r="E22" s="4">
        <f t="shared" si="12"/>
        <v>0</v>
      </c>
      <c r="F22" s="4">
        <f t="shared" si="12"/>
        <v>0</v>
      </c>
      <c r="G22" s="4">
        <f t="shared" si="12"/>
        <v>0</v>
      </c>
      <c r="H22" s="4">
        <f t="shared" si="12"/>
        <v>0</v>
      </c>
      <c r="I22" s="4">
        <f t="shared" si="12"/>
        <v>0</v>
      </c>
      <c r="J22" s="4">
        <f t="shared" si="12"/>
        <v>0</v>
      </c>
      <c r="K22" s="4">
        <f t="shared" si="12"/>
        <v>0</v>
      </c>
      <c r="L22" s="4">
        <f t="shared" si="12"/>
        <v>0</v>
      </c>
      <c r="M22" s="4">
        <f t="shared" si="12"/>
        <v>0</v>
      </c>
      <c r="N22" s="4">
        <f t="shared" si="12"/>
        <v>0</v>
      </c>
      <c r="O22" s="4">
        <f t="shared" si="12"/>
        <v>0</v>
      </c>
      <c r="P22" s="4">
        <f t="shared" si="12"/>
        <v>0</v>
      </c>
      <c r="Q22" s="4">
        <f t="shared" si="12"/>
        <v>0</v>
      </c>
      <c r="R22" s="4">
        <f t="shared" si="12"/>
        <v>0</v>
      </c>
      <c r="S22" s="4">
        <f t="shared" si="12"/>
        <v>0</v>
      </c>
      <c r="T22" s="4">
        <f t="shared" si="12"/>
        <v>0</v>
      </c>
      <c r="U22" s="4">
        <f t="shared" si="12"/>
        <v>0</v>
      </c>
      <c r="V22" s="4">
        <f t="shared" si="12"/>
        <v>0</v>
      </c>
      <c r="W22" s="4">
        <f t="shared" si="12"/>
        <v>0</v>
      </c>
      <c r="X22" s="4">
        <f t="shared" si="12"/>
        <v>0</v>
      </c>
      <c r="Y22" s="4">
        <f t="shared" si="12"/>
        <v>0</v>
      </c>
      <c r="Z22" s="4">
        <f t="shared" si="12"/>
        <v>0</v>
      </c>
      <c r="AA22" s="4">
        <f t="shared" si="12"/>
        <v>0</v>
      </c>
      <c r="AB22" s="4">
        <f t="shared" si="12"/>
        <v>0</v>
      </c>
      <c r="AC22" s="4">
        <f t="shared" si="12"/>
        <v>0</v>
      </c>
      <c r="AD22" s="4">
        <f t="shared" si="12"/>
        <v>0</v>
      </c>
      <c r="AE22" s="4">
        <f t="shared" si="12"/>
        <v>0</v>
      </c>
      <c r="AF22" s="4">
        <f t="shared" si="12"/>
        <v>0</v>
      </c>
      <c r="AG22" s="4">
        <f t="shared" si="12"/>
        <v>0</v>
      </c>
      <c r="AH22" s="4">
        <f t="shared" si="12"/>
        <v>0</v>
      </c>
      <c r="AI22" s="4">
        <f t="shared" si="12"/>
        <v>0</v>
      </c>
      <c r="AJ22" s="4">
        <f t="shared" ref="AJ22:BO22" si="13">COUNTIF(AJ9:AJ18,0)</f>
        <v>0</v>
      </c>
      <c r="AK22" s="4">
        <f t="shared" si="13"/>
        <v>0</v>
      </c>
      <c r="AL22" s="4">
        <f t="shared" si="13"/>
        <v>0</v>
      </c>
      <c r="AM22" s="4">
        <f t="shared" si="13"/>
        <v>0</v>
      </c>
      <c r="AN22" s="4">
        <f t="shared" si="13"/>
        <v>0</v>
      </c>
      <c r="AO22" s="4">
        <f t="shared" si="13"/>
        <v>0</v>
      </c>
      <c r="AP22" s="4">
        <f t="shared" si="13"/>
        <v>0</v>
      </c>
      <c r="AQ22" s="4">
        <f t="shared" si="13"/>
        <v>0</v>
      </c>
      <c r="AR22" s="4">
        <f t="shared" si="13"/>
        <v>0</v>
      </c>
      <c r="AS22" s="4">
        <f t="shared" si="13"/>
        <v>0</v>
      </c>
      <c r="AT22" s="4">
        <f t="shared" si="13"/>
        <v>0</v>
      </c>
      <c r="AU22" s="4">
        <f t="shared" si="13"/>
        <v>0</v>
      </c>
      <c r="AV22" s="4">
        <f t="shared" si="13"/>
        <v>0</v>
      </c>
      <c r="AW22" s="4">
        <f t="shared" si="13"/>
        <v>0</v>
      </c>
      <c r="AX22" s="4">
        <f t="shared" si="13"/>
        <v>0</v>
      </c>
      <c r="AY22" s="4">
        <f t="shared" si="13"/>
        <v>0</v>
      </c>
      <c r="AZ22" s="4">
        <f t="shared" si="13"/>
        <v>0</v>
      </c>
      <c r="BA22" s="4">
        <f t="shared" si="13"/>
        <v>0</v>
      </c>
      <c r="BB22" s="4">
        <f t="shared" si="13"/>
        <v>0</v>
      </c>
      <c r="BC22" s="4">
        <f t="shared" si="13"/>
        <v>0</v>
      </c>
      <c r="BD22" s="4">
        <f t="shared" si="13"/>
        <v>0</v>
      </c>
      <c r="BE22" s="4">
        <f t="shared" si="13"/>
        <v>0</v>
      </c>
      <c r="BF22" s="4">
        <f t="shared" si="13"/>
        <v>0</v>
      </c>
      <c r="BG22" s="4">
        <f t="shared" si="13"/>
        <v>0</v>
      </c>
      <c r="BH22" s="4">
        <f t="shared" si="13"/>
        <v>0</v>
      </c>
      <c r="BI22" s="4">
        <f t="shared" si="13"/>
        <v>0</v>
      </c>
      <c r="BJ22" s="4">
        <f t="shared" si="13"/>
        <v>0</v>
      </c>
      <c r="BK22" s="4">
        <f t="shared" si="13"/>
        <v>0</v>
      </c>
      <c r="BL22" s="4">
        <f t="shared" si="13"/>
        <v>0</v>
      </c>
      <c r="BM22" s="4">
        <f t="shared" si="13"/>
        <v>0</v>
      </c>
      <c r="BN22" s="4">
        <f t="shared" si="13"/>
        <v>0</v>
      </c>
      <c r="BO22" s="4">
        <f t="shared" si="13"/>
        <v>0</v>
      </c>
      <c r="BP22" s="4">
        <f t="shared" ref="BP22:CU22" si="14">COUNTIF(BP9:BP18,0)</f>
        <v>0</v>
      </c>
      <c r="BQ22" s="4">
        <f t="shared" si="14"/>
        <v>0</v>
      </c>
      <c r="BR22" s="4">
        <f t="shared" si="14"/>
        <v>0</v>
      </c>
      <c r="BS22" s="4">
        <f t="shared" si="14"/>
        <v>0</v>
      </c>
      <c r="BT22" s="4">
        <f t="shared" si="14"/>
        <v>0</v>
      </c>
      <c r="BU22" s="4">
        <f t="shared" si="14"/>
        <v>0</v>
      </c>
      <c r="BV22" s="4">
        <f t="shared" si="14"/>
        <v>0</v>
      </c>
      <c r="BW22" s="4">
        <f t="shared" si="14"/>
        <v>0</v>
      </c>
      <c r="BX22" s="4">
        <f t="shared" si="14"/>
        <v>0</v>
      </c>
      <c r="BY22" s="4">
        <f t="shared" si="14"/>
        <v>0</v>
      </c>
      <c r="BZ22" s="4">
        <f t="shared" si="14"/>
        <v>0</v>
      </c>
      <c r="CA22" s="4">
        <f t="shared" si="14"/>
        <v>0</v>
      </c>
      <c r="CB22" s="4">
        <f t="shared" si="14"/>
        <v>0</v>
      </c>
      <c r="CC22" s="4">
        <f t="shared" si="14"/>
        <v>0</v>
      </c>
      <c r="CD22" s="4">
        <f t="shared" si="14"/>
        <v>0</v>
      </c>
      <c r="CE22" s="4">
        <f t="shared" si="14"/>
        <v>0</v>
      </c>
      <c r="CF22" s="4">
        <f t="shared" si="14"/>
        <v>0</v>
      </c>
      <c r="CG22" s="4">
        <f t="shared" si="14"/>
        <v>0</v>
      </c>
      <c r="CH22" s="4">
        <f t="shared" si="14"/>
        <v>0</v>
      </c>
      <c r="CI22" s="4">
        <f t="shared" si="14"/>
        <v>0</v>
      </c>
      <c r="CJ22" s="4">
        <f t="shared" si="14"/>
        <v>0</v>
      </c>
      <c r="CK22" s="4">
        <f t="shared" si="14"/>
        <v>0</v>
      </c>
      <c r="CL22" s="4">
        <f t="shared" si="14"/>
        <v>0</v>
      </c>
      <c r="CM22" s="4">
        <f t="shared" si="14"/>
        <v>0</v>
      </c>
      <c r="CN22" s="4">
        <f t="shared" si="14"/>
        <v>0</v>
      </c>
      <c r="CO22" s="4">
        <f t="shared" si="14"/>
        <v>0</v>
      </c>
      <c r="CP22" s="4">
        <f t="shared" si="14"/>
        <v>0</v>
      </c>
      <c r="CQ22" s="4">
        <f t="shared" si="14"/>
        <v>0</v>
      </c>
      <c r="CR22" s="4">
        <f t="shared" si="14"/>
        <v>0</v>
      </c>
      <c r="CS22" s="4">
        <f t="shared" si="14"/>
        <v>0</v>
      </c>
      <c r="CT22" s="4">
        <f t="shared" si="14"/>
        <v>0</v>
      </c>
      <c r="CU22" s="4">
        <f t="shared" si="14"/>
        <v>0</v>
      </c>
      <c r="CV22" s="4">
        <f t="shared" ref="CV22:EA22" si="15">COUNTIF(CV9:CV18,0)</f>
        <v>0</v>
      </c>
      <c r="CW22" s="4">
        <f t="shared" si="15"/>
        <v>0</v>
      </c>
      <c r="CX22" s="4">
        <f t="shared" si="15"/>
        <v>0</v>
      </c>
      <c r="CY22" s="4">
        <f t="shared" si="15"/>
        <v>0</v>
      </c>
      <c r="CZ22" s="4">
        <f t="shared" si="15"/>
        <v>0</v>
      </c>
      <c r="DA22" s="4">
        <f t="shared" si="15"/>
        <v>0</v>
      </c>
      <c r="DB22" s="4">
        <f t="shared" si="15"/>
        <v>0</v>
      </c>
      <c r="DC22" s="4">
        <f t="shared" si="15"/>
        <v>0</v>
      </c>
      <c r="DD22" s="4">
        <f t="shared" si="15"/>
        <v>0</v>
      </c>
      <c r="DE22" s="4">
        <f t="shared" si="15"/>
        <v>0</v>
      </c>
      <c r="DF22" s="4">
        <f t="shared" si="15"/>
        <v>0</v>
      </c>
      <c r="DG22" s="4">
        <f t="shared" si="15"/>
        <v>0</v>
      </c>
      <c r="DH22" s="4">
        <f t="shared" si="15"/>
        <v>0</v>
      </c>
      <c r="DI22" s="4">
        <f t="shared" si="15"/>
        <v>0</v>
      </c>
      <c r="DJ22" s="4">
        <f t="shared" si="15"/>
        <v>0</v>
      </c>
      <c r="DK22" s="4">
        <f t="shared" si="15"/>
        <v>0</v>
      </c>
      <c r="DL22" s="4">
        <f t="shared" si="15"/>
        <v>0</v>
      </c>
      <c r="DM22" s="4">
        <f t="shared" si="15"/>
        <v>0</v>
      </c>
      <c r="DN22" s="4">
        <f t="shared" si="15"/>
        <v>0</v>
      </c>
      <c r="DO22" s="4">
        <f t="shared" si="15"/>
        <v>0</v>
      </c>
      <c r="DP22" s="4">
        <f t="shared" si="15"/>
        <v>0</v>
      </c>
      <c r="DQ22" s="4">
        <f t="shared" si="15"/>
        <v>0</v>
      </c>
      <c r="DR22" s="4">
        <f t="shared" si="15"/>
        <v>0</v>
      </c>
      <c r="DS22" s="4">
        <f t="shared" si="15"/>
        <v>0</v>
      </c>
      <c r="DT22" s="4">
        <f t="shared" si="15"/>
        <v>0</v>
      </c>
      <c r="DU22" s="4">
        <f t="shared" si="15"/>
        <v>0</v>
      </c>
      <c r="DV22" s="4">
        <f t="shared" si="15"/>
        <v>0</v>
      </c>
      <c r="DW22" s="4">
        <f t="shared" si="15"/>
        <v>0</v>
      </c>
      <c r="DX22" s="4">
        <f t="shared" si="15"/>
        <v>0</v>
      </c>
      <c r="DY22" s="4">
        <f t="shared" si="15"/>
        <v>0</v>
      </c>
      <c r="DZ22" s="4">
        <f t="shared" si="15"/>
        <v>0</v>
      </c>
      <c r="EA22" s="4">
        <f t="shared" si="15"/>
        <v>0</v>
      </c>
      <c r="EB22" s="4">
        <f t="shared" ref="EB22:EO22" si="16">COUNTIF(EB9:EB18,0)</f>
        <v>0</v>
      </c>
      <c r="EC22" s="4">
        <f t="shared" si="16"/>
        <v>0</v>
      </c>
      <c r="ED22" s="4">
        <f t="shared" si="16"/>
        <v>0</v>
      </c>
      <c r="EE22" s="4">
        <f t="shared" si="16"/>
        <v>0</v>
      </c>
      <c r="EF22" s="4">
        <f t="shared" si="16"/>
        <v>0</v>
      </c>
      <c r="EG22" s="4">
        <f t="shared" si="16"/>
        <v>0</v>
      </c>
      <c r="EH22" s="4">
        <f t="shared" si="16"/>
        <v>0</v>
      </c>
      <c r="EI22" s="4">
        <f t="shared" si="16"/>
        <v>0</v>
      </c>
      <c r="EJ22" s="4">
        <f t="shared" si="16"/>
        <v>0</v>
      </c>
      <c r="EK22" s="4">
        <f t="shared" si="16"/>
        <v>0</v>
      </c>
      <c r="EL22" s="4">
        <f t="shared" si="16"/>
        <v>0</v>
      </c>
      <c r="EM22" s="4">
        <f t="shared" si="16"/>
        <v>0</v>
      </c>
      <c r="EN22" s="4">
        <f t="shared" si="16"/>
        <v>0</v>
      </c>
      <c r="EO22" s="4">
        <f t="shared" si="16"/>
        <v>0</v>
      </c>
    </row>
    <row r="23" spans="2:148" x14ac:dyDescent="0.25">
      <c r="C23" t="s">
        <v>20</v>
      </c>
      <c r="D23" s="4">
        <f t="shared" ref="D23:AI23" si="17">COUNTIF(D9:D18,1)+COUNTIF(D9:D18,9)+COUNTIF(D9:D18,0)</f>
        <v>0</v>
      </c>
      <c r="E23" s="4">
        <f t="shared" si="17"/>
        <v>0</v>
      </c>
      <c r="F23" s="4">
        <f t="shared" si="17"/>
        <v>0</v>
      </c>
      <c r="G23" s="4">
        <f t="shared" si="17"/>
        <v>0</v>
      </c>
      <c r="H23" s="4">
        <f t="shared" si="17"/>
        <v>0</v>
      </c>
      <c r="I23" s="4">
        <f t="shared" si="17"/>
        <v>0</v>
      </c>
      <c r="J23" s="4">
        <f t="shared" si="17"/>
        <v>0</v>
      </c>
      <c r="K23" s="4">
        <f t="shared" si="17"/>
        <v>0</v>
      </c>
      <c r="L23" s="4">
        <f t="shared" si="17"/>
        <v>0</v>
      </c>
      <c r="M23" s="4">
        <f t="shared" si="17"/>
        <v>0</v>
      </c>
      <c r="N23" s="4">
        <f t="shared" si="17"/>
        <v>0</v>
      </c>
      <c r="O23" s="4">
        <f t="shared" si="17"/>
        <v>0</v>
      </c>
      <c r="P23" s="4">
        <f t="shared" si="17"/>
        <v>0</v>
      </c>
      <c r="Q23" s="4">
        <f t="shared" si="17"/>
        <v>0</v>
      </c>
      <c r="R23" s="4">
        <f t="shared" si="17"/>
        <v>0</v>
      </c>
      <c r="S23" s="4">
        <f t="shared" si="17"/>
        <v>0</v>
      </c>
      <c r="T23" s="4">
        <f t="shared" si="17"/>
        <v>0</v>
      </c>
      <c r="U23" s="4">
        <f t="shared" si="17"/>
        <v>0</v>
      </c>
      <c r="V23" s="4">
        <f t="shared" si="17"/>
        <v>0</v>
      </c>
      <c r="W23" s="4">
        <f t="shared" si="17"/>
        <v>0</v>
      </c>
      <c r="X23" s="4">
        <f t="shared" si="17"/>
        <v>0</v>
      </c>
      <c r="Y23" s="4">
        <f t="shared" si="17"/>
        <v>0</v>
      </c>
      <c r="Z23" s="4">
        <f t="shared" si="17"/>
        <v>0</v>
      </c>
      <c r="AA23" s="4">
        <f t="shared" si="17"/>
        <v>0</v>
      </c>
      <c r="AB23" s="4">
        <f t="shared" si="17"/>
        <v>0</v>
      </c>
      <c r="AC23" s="4">
        <f t="shared" si="17"/>
        <v>0</v>
      </c>
      <c r="AD23" s="4">
        <f t="shared" si="17"/>
        <v>0</v>
      </c>
      <c r="AE23" s="4">
        <f t="shared" si="17"/>
        <v>0</v>
      </c>
      <c r="AF23" s="4">
        <f t="shared" si="17"/>
        <v>0</v>
      </c>
      <c r="AG23" s="4">
        <f t="shared" si="17"/>
        <v>0</v>
      </c>
      <c r="AH23" s="4">
        <f t="shared" si="17"/>
        <v>0</v>
      </c>
      <c r="AI23" s="4">
        <f t="shared" si="17"/>
        <v>0</v>
      </c>
      <c r="AJ23" s="4">
        <f t="shared" ref="AJ23:BO23" si="18">COUNTIF(AJ9:AJ18,1)+COUNTIF(AJ9:AJ18,9)+COUNTIF(AJ9:AJ18,0)</f>
        <v>0</v>
      </c>
      <c r="AK23" s="4">
        <f t="shared" si="18"/>
        <v>0</v>
      </c>
      <c r="AL23" s="4">
        <f t="shared" si="18"/>
        <v>0</v>
      </c>
      <c r="AM23" s="4">
        <f t="shared" si="18"/>
        <v>0</v>
      </c>
      <c r="AN23" s="4">
        <f t="shared" si="18"/>
        <v>0</v>
      </c>
      <c r="AO23" s="4">
        <f t="shared" si="18"/>
        <v>0</v>
      </c>
      <c r="AP23" s="4">
        <f t="shared" si="18"/>
        <v>0</v>
      </c>
      <c r="AQ23" s="4">
        <f t="shared" si="18"/>
        <v>0</v>
      </c>
      <c r="AR23" s="4">
        <f t="shared" si="18"/>
        <v>0</v>
      </c>
      <c r="AS23" s="4">
        <f t="shared" si="18"/>
        <v>0</v>
      </c>
      <c r="AT23" s="4">
        <f t="shared" si="18"/>
        <v>0</v>
      </c>
      <c r="AU23" s="4">
        <f t="shared" si="18"/>
        <v>0</v>
      </c>
      <c r="AV23" s="4">
        <f t="shared" si="18"/>
        <v>0</v>
      </c>
      <c r="AW23" s="4">
        <f t="shared" si="18"/>
        <v>0</v>
      </c>
      <c r="AX23" s="4">
        <f t="shared" si="18"/>
        <v>0</v>
      </c>
      <c r="AY23" s="4">
        <f t="shared" si="18"/>
        <v>0</v>
      </c>
      <c r="AZ23" s="4">
        <f t="shared" si="18"/>
        <v>0</v>
      </c>
      <c r="BA23" s="4">
        <f t="shared" si="18"/>
        <v>0</v>
      </c>
      <c r="BB23" s="4">
        <f t="shared" si="18"/>
        <v>0</v>
      </c>
      <c r="BC23" s="4">
        <f t="shared" si="18"/>
        <v>0</v>
      </c>
      <c r="BD23" s="4">
        <f t="shared" si="18"/>
        <v>0</v>
      </c>
      <c r="BE23" s="4">
        <f t="shared" si="18"/>
        <v>0</v>
      </c>
      <c r="BF23" s="4">
        <f t="shared" si="18"/>
        <v>0</v>
      </c>
      <c r="BG23" s="4">
        <f t="shared" si="18"/>
        <v>0</v>
      </c>
      <c r="BH23" s="4">
        <f t="shared" si="18"/>
        <v>0</v>
      </c>
      <c r="BI23" s="4">
        <f t="shared" si="18"/>
        <v>0</v>
      </c>
      <c r="BJ23" s="4">
        <f t="shared" si="18"/>
        <v>0</v>
      </c>
      <c r="BK23" s="4">
        <f t="shared" si="18"/>
        <v>0</v>
      </c>
      <c r="BL23" s="4">
        <f t="shared" si="18"/>
        <v>0</v>
      </c>
      <c r="BM23" s="4">
        <f t="shared" si="18"/>
        <v>0</v>
      </c>
      <c r="BN23" s="4">
        <f t="shared" si="18"/>
        <v>0</v>
      </c>
      <c r="BO23" s="4">
        <f t="shared" si="18"/>
        <v>0</v>
      </c>
      <c r="BP23" s="4">
        <f t="shared" ref="BP23:CU23" si="19">COUNTIF(BP9:BP18,1)+COUNTIF(BP9:BP18,9)+COUNTIF(BP9:BP18,0)</f>
        <v>0</v>
      </c>
      <c r="BQ23" s="4">
        <f t="shared" si="19"/>
        <v>0</v>
      </c>
      <c r="BR23" s="4">
        <f t="shared" si="19"/>
        <v>0</v>
      </c>
      <c r="BS23" s="4">
        <f t="shared" si="19"/>
        <v>0</v>
      </c>
      <c r="BT23" s="4">
        <f t="shared" si="19"/>
        <v>0</v>
      </c>
      <c r="BU23" s="4">
        <f t="shared" si="19"/>
        <v>0</v>
      </c>
      <c r="BV23" s="4">
        <f t="shared" si="19"/>
        <v>0</v>
      </c>
      <c r="BW23" s="4">
        <f t="shared" si="19"/>
        <v>0</v>
      </c>
      <c r="BX23" s="4">
        <f t="shared" si="19"/>
        <v>0</v>
      </c>
      <c r="BY23" s="4">
        <f t="shared" si="19"/>
        <v>0</v>
      </c>
      <c r="BZ23" s="4">
        <f t="shared" si="19"/>
        <v>0</v>
      </c>
      <c r="CA23" s="4">
        <f t="shared" si="19"/>
        <v>0</v>
      </c>
      <c r="CB23" s="4">
        <f t="shared" si="19"/>
        <v>0</v>
      </c>
      <c r="CC23" s="4">
        <f t="shared" si="19"/>
        <v>0</v>
      </c>
      <c r="CD23" s="4">
        <f t="shared" si="19"/>
        <v>0</v>
      </c>
      <c r="CE23" s="4">
        <f t="shared" si="19"/>
        <v>0</v>
      </c>
      <c r="CF23" s="4">
        <f t="shared" si="19"/>
        <v>0</v>
      </c>
      <c r="CG23" s="4">
        <f t="shared" si="19"/>
        <v>0</v>
      </c>
      <c r="CH23" s="4">
        <f t="shared" si="19"/>
        <v>0</v>
      </c>
      <c r="CI23" s="4">
        <f t="shared" si="19"/>
        <v>0</v>
      </c>
      <c r="CJ23" s="4">
        <f t="shared" si="19"/>
        <v>0</v>
      </c>
      <c r="CK23" s="4">
        <f t="shared" si="19"/>
        <v>0</v>
      </c>
      <c r="CL23" s="4">
        <f t="shared" si="19"/>
        <v>0</v>
      </c>
      <c r="CM23" s="4">
        <f t="shared" si="19"/>
        <v>0</v>
      </c>
      <c r="CN23" s="4">
        <f t="shared" si="19"/>
        <v>0</v>
      </c>
      <c r="CO23" s="4">
        <f t="shared" si="19"/>
        <v>0</v>
      </c>
      <c r="CP23" s="4">
        <f t="shared" si="19"/>
        <v>0</v>
      </c>
      <c r="CQ23" s="4">
        <f t="shared" si="19"/>
        <v>0</v>
      </c>
      <c r="CR23" s="4">
        <f t="shared" si="19"/>
        <v>0</v>
      </c>
      <c r="CS23" s="4">
        <f t="shared" si="19"/>
        <v>0</v>
      </c>
      <c r="CT23" s="4">
        <f t="shared" si="19"/>
        <v>0</v>
      </c>
      <c r="CU23" s="4">
        <f t="shared" si="19"/>
        <v>0</v>
      </c>
      <c r="CV23" s="4">
        <f t="shared" ref="CV23:EA23" si="20">COUNTIF(CV9:CV18,1)+COUNTIF(CV9:CV18,9)+COUNTIF(CV9:CV18,0)</f>
        <v>0</v>
      </c>
      <c r="CW23" s="4">
        <f t="shared" si="20"/>
        <v>0</v>
      </c>
      <c r="CX23" s="4">
        <f t="shared" si="20"/>
        <v>0</v>
      </c>
      <c r="CY23" s="4">
        <f t="shared" si="20"/>
        <v>0</v>
      </c>
      <c r="CZ23" s="4">
        <f t="shared" si="20"/>
        <v>0</v>
      </c>
      <c r="DA23" s="4">
        <f t="shared" si="20"/>
        <v>0</v>
      </c>
      <c r="DB23" s="4">
        <f t="shared" si="20"/>
        <v>0</v>
      </c>
      <c r="DC23" s="4">
        <f t="shared" si="20"/>
        <v>0</v>
      </c>
      <c r="DD23" s="4">
        <f t="shared" si="20"/>
        <v>0</v>
      </c>
      <c r="DE23" s="4">
        <f t="shared" si="20"/>
        <v>0</v>
      </c>
      <c r="DF23" s="4">
        <f t="shared" si="20"/>
        <v>0</v>
      </c>
      <c r="DG23" s="4">
        <f t="shared" si="20"/>
        <v>0</v>
      </c>
      <c r="DH23" s="4">
        <f t="shared" si="20"/>
        <v>0</v>
      </c>
      <c r="DI23" s="4">
        <f t="shared" si="20"/>
        <v>0</v>
      </c>
      <c r="DJ23" s="4">
        <f t="shared" si="20"/>
        <v>0</v>
      </c>
      <c r="DK23" s="4">
        <f t="shared" si="20"/>
        <v>0</v>
      </c>
      <c r="DL23" s="4">
        <f t="shared" si="20"/>
        <v>0</v>
      </c>
      <c r="DM23" s="4">
        <f t="shared" si="20"/>
        <v>0</v>
      </c>
      <c r="DN23" s="4">
        <f t="shared" si="20"/>
        <v>0</v>
      </c>
      <c r="DO23" s="4">
        <f t="shared" si="20"/>
        <v>0</v>
      </c>
      <c r="DP23" s="4">
        <f t="shared" si="20"/>
        <v>0</v>
      </c>
      <c r="DQ23" s="4">
        <f t="shared" si="20"/>
        <v>0</v>
      </c>
      <c r="DR23" s="4">
        <f t="shared" si="20"/>
        <v>0</v>
      </c>
      <c r="DS23" s="4">
        <f t="shared" si="20"/>
        <v>0</v>
      </c>
      <c r="DT23" s="4">
        <f t="shared" si="20"/>
        <v>0</v>
      </c>
      <c r="DU23" s="4">
        <f t="shared" si="20"/>
        <v>0</v>
      </c>
      <c r="DV23" s="4">
        <f t="shared" si="20"/>
        <v>0</v>
      </c>
      <c r="DW23" s="4">
        <f t="shared" si="20"/>
        <v>0</v>
      </c>
      <c r="DX23" s="4">
        <f t="shared" si="20"/>
        <v>0</v>
      </c>
      <c r="DY23" s="4">
        <f t="shared" si="20"/>
        <v>0</v>
      </c>
      <c r="DZ23" s="4">
        <f t="shared" si="20"/>
        <v>0</v>
      </c>
      <c r="EA23" s="4">
        <f t="shared" si="20"/>
        <v>0</v>
      </c>
      <c r="EB23" s="4">
        <f t="shared" ref="EB23:EO23" si="21">COUNTIF(EB9:EB18,1)+COUNTIF(EB9:EB18,9)+COUNTIF(EB9:EB18,0)</f>
        <v>0</v>
      </c>
      <c r="EC23" s="4">
        <f t="shared" si="21"/>
        <v>0</v>
      </c>
      <c r="ED23" s="4">
        <f t="shared" si="21"/>
        <v>0</v>
      </c>
      <c r="EE23" s="4">
        <f t="shared" si="21"/>
        <v>0</v>
      </c>
      <c r="EF23" s="4">
        <f t="shared" si="21"/>
        <v>0</v>
      </c>
      <c r="EG23" s="4">
        <f t="shared" si="21"/>
        <v>0</v>
      </c>
      <c r="EH23" s="4">
        <f t="shared" si="21"/>
        <v>0</v>
      </c>
      <c r="EI23" s="4">
        <f t="shared" si="21"/>
        <v>0</v>
      </c>
      <c r="EJ23" s="4">
        <f t="shared" si="21"/>
        <v>0</v>
      </c>
      <c r="EK23" s="4">
        <f t="shared" si="21"/>
        <v>0</v>
      </c>
      <c r="EL23" s="4">
        <f t="shared" si="21"/>
        <v>0</v>
      </c>
      <c r="EM23" s="4">
        <f t="shared" si="21"/>
        <v>0</v>
      </c>
      <c r="EN23" s="4">
        <f t="shared" si="21"/>
        <v>0</v>
      </c>
      <c r="EO23" s="4">
        <f t="shared" si="21"/>
        <v>0</v>
      </c>
    </row>
    <row r="25" spans="2:148" ht="63" customHeight="1" x14ac:dyDescent="0.25">
      <c r="C25" s="6" t="s">
        <v>21</v>
      </c>
      <c r="D25" s="7" t="e">
        <f>D20/D23</f>
        <v>#DIV/0!</v>
      </c>
      <c r="E25" s="7" t="e">
        <f t="shared" ref="E25:BU25" si="22">E20/E23</f>
        <v>#DIV/0!</v>
      </c>
      <c r="F25" s="7" t="e">
        <f t="shared" si="22"/>
        <v>#DIV/0!</v>
      </c>
      <c r="G25" s="7" t="e">
        <f t="shared" si="22"/>
        <v>#DIV/0!</v>
      </c>
      <c r="H25" s="7" t="e">
        <f t="shared" si="22"/>
        <v>#DIV/0!</v>
      </c>
      <c r="I25" s="7" t="e">
        <f t="shared" si="22"/>
        <v>#DIV/0!</v>
      </c>
      <c r="J25" s="7" t="e">
        <f t="shared" si="22"/>
        <v>#DIV/0!</v>
      </c>
      <c r="K25" s="7" t="e">
        <f t="shared" si="22"/>
        <v>#DIV/0!</v>
      </c>
      <c r="L25" s="7" t="e">
        <f t="shared" si="22"/>
        <v>#DIV/0!</v>
      </c>
      <c r="M25" s="7" t="e">
        <f t="shared" si="22"/>
        <v>#DIV/0!</v>
      </c>
      <c r="N25" s="7" t="e">
        <f t="shared" si="22"/>
        <v>#DIV/0!</v>
      </c>
      <c r="O25" s="7" t="e">
        <f t="shared" si="22"/>
        <v>#DIV/0!</v>
      </c>
      <c r="P25" s="7" t="e">
        <f t="shared" si="22"/>
        <v>#DIV/0!</v>
      </c>
      <c r="Q25" s="7" t="e">
        <f t="shared" si="22"/>
        <v>#DIV/0!</v>
      </c>
      <c r="R25" s="7" t="e">
        <f t="shared" si="22"/>
        <v>#DIV/0!</v>
      </c>
      <c r="S25" s="7" t="e">
        <f t="shared" si="22"/>
        <v>#DIV/0!</v>
      </c>
      <c r="T25" s="7" t="e">
        <f t="shared" si="22"/>
        <v>#DIV/0!</v>
      </c>
      <c r="U25" s="7" t="e">
        <f t="shared" si="22"/>
        <v>#DIV/0!</v>
      </c>
      <c r="V25" s="7" t="e">
        <f t="shared" si="22"/>
        <v>#DIV/0!</v>
      </c>
      <c r="W25" s="7" t="e">
        <f t="shared" si="22"/>
        <v>#DIV/0!</v>
      </c>
      <c r="X25" s="7" t="e">
        <f t="shared" si="22"/>
        <v>#DIV/0!</v>
      </c>
      <c r="Y25" s="7" t="e">
        <f t="shared" si="22"/>
        <v>#DIV/0!</v>
      </c>
      <c r="Z25" s="7" t="e">
        <f t="shared" si="22"/>
        <v>#DIV/0!</v>
      </c>
      <c r="AA25" s="7" t="e">
        <f t="shared" si="22"/>
        <v>#DIV/0!</v>
      </c>
      <c r="AB25" s="7" t="e">
        <f t="shared" si="22"/>
        <v>#DIV/0!</v>
      </c>
      <c r="AC25" s="7" t="e">
        <f t="shared" si="22"/>
        <v>#DIV/0!</v>
      </c>
      <c r="AD25" s="7" t="e">
        <f t="shared" si="22"/>
        <v>#DIV/0!</v>
      </c>
      <c r="AE25" s="7" t="e">
        <f t="shared" si="22"/>
        <v>#DIV/0!</v>
      </c>
      <c r="AF25" s="7" t="e">
        <f t="shared" si="22"/>
        <v>#DIV/0!</v>
      </c>
      <c r="AG25" s="7" t="e">
        <f t="shared" si="22"/>
        <v>#DIV/0!</v>
      </c>
      <c r="AH25" s="7" t="e">
        <f t="shared" si="22"/>
        <v>#DIV/0!</v>
      </c>
      <c r="AI25" s="7" t="e">
        <f t="shared" si="22"/>
        <v>#DIV/0!</v>
      </c>
      <c r="AJ25" s="7" t="e">
        <f t="shared" si="22"/>
        <v>#DIV/0!</v>
      </c>
      <c r="AK25" s="7" t="e">
        <f t="shared" si="22"/>
        <v>#DIV/0!</v>
      </c>
      <c r="AL25" s="7" t="e">
        <f t="shared" si="22"/>
        <v>#DIV/0!</v>
      </c>
      <c r="AM25" s="7" t="e">
        <f t="shared" si="22"/>
        <v>#DIV/0!</v>
      </c>
      <c r="AN25" s="7" t="e">
        <f t="shared" si="22"/>
        <v>#DIV/0!</v>
      </c>
      <c r="AO25" s="7" t="e">
        <f t="shared" si="22"/>
        <v>#DIV/0!</v>
      </c>
      <c r="AP25" s="7" t="e">
        <f t="shared" si="22"/>
        <v>#DIV/0!</v>
      </c>
      <c r="AQ25" s="7" t="e">
        <f t="shared" si="22"/>
        <v>#DIV/0!</v>
      </c>
      <c r="AR25" s="7" t="e">
        <f t="shared" si="22"/>
        <v>#DIV/0!</v>
      </c>
      <c r="AS25" s="7" t="e">
        <f t="shared" si="22"/>
        <v>#DIV/0!</v>
      </c>
      <c r="AT25" s="7" t="e">
        <f t="shared" si="22"/>
        <v>#DIV/0!</v>
      </c>
      <c r="AU25" s="7" t="e">
        <f t="shared" si="22"/>
        <v>#DIV/0!</v>
      </c>
      <c r="AV25" s="7" t="e">
        <f t="shared" si="22"/>
        <v>#DIV/0!</v>
      </c>
      <c r="AW25" s="7" t="e">
        <f t="shared" si="22"/>
        <v>#DIV/0!</v>
      </c>
      <c r="AX25" s="7" t="e">
        <f t="shared" si="22"/>
        <v>#DIV/0!</v>
      </c>
      <c r="AY25" s="7" t="e">
        <f t="shared" si="22"/>
        <v>#DIV/0!</v>
      </c>
      <c r="AZ25" s="7" t="e">
        <f t="shared" si="22"/>
        <v>#DIV/0!</v>
      </c>
      <c r="BA25" s="7" t="e">
        <f t="shared" si="22"/>
        <v>#DIV/0!</v>
      </c>
      <c r="BB25" s="7" t="e">
        <f t="shared" si="22"/>
        <v>#DIV/0!</v>
      </c>
      <c r="BC25" s="7" t="e">
        <f t="shared" si="22"/>
        <v>#DIV/0!</v>
      </c>
      <c r="BD25" s="7" t="e">
        <f t="shared" si="22"/>
        <v>#DIV/0!</v>
      </c>
      <c r="BE25" s="7" t="e">
        <f t="shared" si="22"/>
        <v>#DIV/0!</v>
      </c>
      <c r="BF25" s="7" t="e">
        <f t="shared" si="22"/>
        <v>#DIV/0!</v>
      </c>
      <c r="BG25" s="7" t="e">
        <f t="shared" si="22"/>
        <v>#DIV/0!</v>
      </c>
      <c r="BH25" s="7" t="e">
        <f t="shared" si="22"/>
        <v>#DIV/0!</v>
      </c>
      <c r="BI25" s="7" t="e">
        <f t="shared" si="22"/>
        <v>#DIV/0!</v>
      </c>
      <c r="BJ25" s="7" t="e">
        <f t="shared" si="22"/>
        <v>#DIV/0!</v>
      </c>
      <c r="BK25" s="7" t="e">
        <f t="shared" si="22"/>
        <v>#DIV/0!</v>
      </c>
      <c r="BL25" s="7" t="e">
        <f t="shared" si="22"/>
        <v>#DIV/0!</v>
      </c>
      <c r="BM25" s="7" t="e">
        <f t="shared" si="22"/>
        <v>#DIV/0!</v>
      </c>
      <c r="BN25" s="7" t="e">
        <f t="shared" si="22"/>
        <v>#DIV/0!</v>
      </c>
      <c r="BO25" s="7" t="e">
        <f t="shared" si="22"/>
        <v>#DIV/0!</v>
      </c>
      <c r="BP25" s="7" t="e">
        <f t="shared" si="22"/>
        <v>#DIV/0!</v>
      </c>
      <c r="BQ25" s="7" t="e">
        <f t="shared" si="22"/>
        <v>#DIV/0!</v>
      </c>
      <c r="BR25" s="7" t="e">
        <f t="shared" si="22"/>
        <v>#DIV/0!</v>
      </c>
      <c r="BS25" s="7" t="e">
        <f t="shared" si="22"/>
        <v>#DIV/0!</v>
      </c>
      <c r="BT25" s="7" t="e">
        <f t="shared" si="22"/>
        <v>#DIV/0!</v>
      </c>
      <c r="BU25" s="7" t="e">
        <f t="shared" si="22"/>
        <v>#DIV/0!</v>
      </c>
      <c r="BV25" s="7" t="e">
        <f t="shared" ref="BV25:EG25" si="23">BV20/BV23</f>
        <v>#DIV/0!</v>
      </c>
      <c r="BW25" s="7" t="e">
        <f t="shared" si="23"/>
        <v>#DIV/0!</v>
      </c>
      <c r="BX25" s="7" t="e">
        <f t="shared" si="23"/>
        <v>#DIV/0!</v>
      </c>
      <c r="BY25" s="7" t="e">
        <f t="shared" si="23"/>
        <v>#DIV/0!</v>
      </c>
      <c r="BZ25" s="7" t="e">
        <f t="shared" si="23"/>
        <v>#DIV/0!</v>
      </c>
      <c r="CA25" s="7" t="e">
        <f t="shared" si="23"/>
        <v>#DIV/0!</v>
      </c>
      <c r="CB25" s="7" t="e">
        <f t="shared" si="23"/>
        <v>#DIV/0!</v>
      </c>
      <c r="CC25" s="7" t="e">
        <f t="shared" si="23"/>
        <v>#DIV/0!</v>
      </c>
      <c r="CD25" s="7" t="e">
        <f t="shared" si="23"/>
        <v>#DIV/0!</v>
      </c>
      <c r="CE25" s="7" t="e">
        <f t="shared" si="23"/>
        <v>#DIV/0!</v>
      </c>
      <c r="CF25" s="7" t="e">
        <f t="shared" si="23"/>
        <v>#DIV/0!</v>
      </c>
      <c r="CG25" s="7" t="e">
        <f t="shared" si="23"/>
        <v>#DIV/0!</v>
      </c>
      <c r="CH25" s="7" t="e">
        <f t="shared" si="23"/>
        <v>#DIV/0!</v>
      </c>
      <c r="CI25" s="7" t="e">
        <f t="shared" si="23"/>
        <v>#DIV/0!</v>
      </c>
      <c r="CJ25" s="7" t="e">
        <f t="shared" si="23"/>
        <v>#DIV/0!</v>
      </c>
      <c r="CK25" s="7" t="e">
        <f t="shared" si="23"/>
        <v>#DIV/0!</v>
      </c>
      <c r="CL25" s="7" t="e">
        <f t="shared" si="23"/>
        <v>#DIV/0!</v>
      </c>
      <c r="CM25" s="7" t="e">
        <f t="shared" si="23"/>
        <v>#DIV/0!</v>
      </c>
      <c r="CN25" s="7" t="e">
        <f t="shared" si="23"/>
        <v>#DIV/0!</v>
      </c>
      <c r="CO25" s="7" t="e">
        <f t="shared" si="23"/>
        <v>#DIV/0!</v>
      </c>
      <c r="CP25" s="7" t="e">
        <f t="shared" si="23"/>
        <v>#DIV/0!</v>
      </c>
      <c r="CQ25" s="7" t="e">
        <f t="shared" si="23"/>
        <v>#DIV/0!</v>
      </c>
      <c r="CR25" s="7" t="e">
        <f t="shared" si="23"/>
        <v>#DIV/0!</v>
      </c>
      <c r="CS25" s="7" t="e">
        <f t="shared" si="23"/>
        <v>#DIV/0!</v>
      </c>
      <c r="CT25" s="7" t="e">
        <f t="shared" si="23"/>
        <v>#DIV/0!</v>
      </c>
      <c r="CU25" s="7" t="e">
        <f t="shared" si="23"/>
        <v>#DIV/0!</v>
      </c>
      <c r="CV25" s="7" t="e">
        <f t="shared" si="23"/>
        <v>#DIV/0!</v>
      </c>
      <c r="CW25" s="7" t="e">
        <f t="shared" si="23"/>
        <v>#DIV/0!</v>
      </c>
      <c r="CX25" s="7" t="e">
        <f t="shared" si="23"/>
        <v>#DIV/0!</v>
      </c>
      <c r="CY25" s="7" t="e">
        <f t="shared" si="23"/>
        <v>#DIV/0!</v>
      </c>
      <c r="CZ25" s="7" t="e">
        <f t="shared" si="23"/>
        <v>#DIV/0!</v>
      </c>
      <c r="DA25" s="7" t="e">
        <f t="shared" si="23"/>
        <v>#DIV/0!</v>
      </c>
      <c r="DB25" s="7" t="e">
        <f t="shared" si="23"/>
        <v>#DIV/0!</v>
      </c>
      <c r="DC25" s="7" t="e">
        <f t="shared" si="23"/>
        <v>#DIV/0!</v>
      </c>
      <c r="DD25" s="7" t="e">
        <f t="shared" si="23"/>
        <v>#DIV/0!</v>
      </c>
      <c r="DE25" s="7" t="e">
        <f t="shared" si="23"/>
        <v>#DIV/0!</v>
      </c>
      <c r="DF25" s="7" t="e">
        <f t="shared" si="23"/>
        <v>#DIV/0!</v>
      </c>
      <c r="DG25" s="7" t="e">
        <f t="shared" si="23"/>
        <v>#DIV/0!</v>
      </c>
      <c r="DH25" s="7" t="e">
        <f t="shared" si="23"/>
        <v>#DIV/0!</v>
      </c>
      <c r="DI25" s="7" t="e">
        <f t="shared" si="23"/>
        <v>#DIV/0!</v>
      </c>
      <c r="DJ25" s="7" t="e">
        <f t="shared" si="23"/>
        <v>#DIV/0!</v>
      </c>
      <c r="DK25" s="7" t="e">
        <f t="shared" si="23"/>
        <v>#DIV/0!</v>
      </c>
      <c r="DL25" s="7" t="e">
        <f t="shared" si="23"/>
        <v>#DIV/0!</v>
      </c>
      <c r="DM25" s="7" t="e">
        <f t="shared" si="23"/>
        <v>#DIV/0!</v>
      </c>
      <c r="DN25" s="7" t="e">
        <f t="shared" si="23"/>
        <v>#DIV/0!</v>
      </c>
      <c r="DO25" s="7" t="e">
        <f t="shared" si="23"/>
        <v>#DIV/0!</v>
      </c>
      <c r="DP25" s="7" t="e">
        <f t="shared" si="23"/>
        <v>#DIV/0!</v>
      </c>
      <c r="DQ25" s="7" t="e">
        <f t="shared" si="23"/>
        <v>#DIV/0!</v>
      </c>
      <c r="DR25" s="7" t="e">
        <f t="shared" si="23"/>
        <v>#DIV/0!</v>
      </c>
      <c r="DS25" s="7" t="e">
        <f t="shared" si="23"/>
        <v>#DIV/0!</v>
      </c>
      <c r="DT25" s="7" t="e">
        <f t="shared" si="23"/>
        <v>#DIV/0!</v>
      </c>
      <c r="DU25" s="7" t="e">
        <f t="shared" si="23"/>
        <v>#DIV/0!</v>
      </c>
      <c r="DV25" s="7" t="e">
        <f t="shared" si="23"/>
        <v>#DIV/0!</v>
      </c>
      <c r="DW25" s="7" t="e">
        <f t="shared" si="23"/>
        <v>#DIV/0!</v>
      </c>
      <c r="DX25" s="7" t="e">
        <f t="shared" si="23"/>
        <v>#DIV/0!</v>
      </c>
      <c r="DY25" s="7" t="e">
        <f t="shared" si="23"/>
        <v>#DIV/0!</v>
      </c>
      <c r="DZ25" s="7" t="e">
        <f t="shared" si="23"/>
        <v>#DIV/0!</v>
      </c>
      <c r="EA25" s="7" t="e">
        <f t="shared" si="23"/>
        <v>#DIV/0!</v>
      </c>
      <c r="EB25" s="7" t="e">
        <f t="shared" si="23"/>
        <v>#DIV/0!</v>
      </c>
      <c r="EC25" s="7" t="e">
        <f t="shared" si="23"/>
        <v>#DIV/0!</v>
      </c>
      <c r="ED25" s="7" t="e">
        <f t="shared" si="23"/>
        <v>#DIV/0!</v>
      </c>
      <c r="EE25" s="7" t="e">
        <f t="shared" si="23"/>
        <v>#DIV/0!</v>
      </c>
      <c r="EF25" s="7" t="e">
        <f t="shared" si="23"/>
        <v>#DIV/0!</v>
      </c>
      <c r="EG25" s="7" t="e">
        <f t="shared" si="23"/>
        <v>#DIV/0!</v>
      </c>
      <c r="EH25" s="7" t="e">
        <f t="shared" ref="EH25:EO25" si="24">EH20/EH23</f>
        <v>#DIV/0!</v>
      </c>
      <c r="EI25" s="7" t="e">
        <f t="shared" si="24"/>
        <v>#DIV/0!</v>
      </c>
      <c r="EJ25" s="7" t="e">
        <f t="shared" si="24"/>
        <v>#DIV/0!</v>
      </c>
      <c r="EK25" s="7" t="e">
        <f t="shared" si="24"/>
        <v>#DIV/0!</v>
      </c>
      <c r="EL25" s="7" t="e">
        <f t="shared" si="24"/>
        <v>#DIV/0!</v>
      </c>
      <c r="EM25" s="7" t="e">
        <f t="shared" si="24"/>
        <v>#DIV/0!</v>
      </c>
      <c r="EN25" s="7" t="e">
        <f t="shared" si="24"/>
        <v>#DIV/0!</v>
      </c>
      <c r="EO25" s="7" t="e">
        <f t="shared" si="24"/>
        <v>#DIV/0!</v>
      </c>
    </row>
    <row r="26" spans="2:148" x14ac:dyDescent="0.25">
      <c r="D26" s="5">
        <v>1</v>
      </c>
      <c r="E26" s="5">
        <v>2</v>
      </c>
      <c r="F26" s="5">
        <v>3</v>
      </c>
      <c r="G26" s="5">
        <v>4</v>
      </c>
      <c r="H26" s="5">
        <v>5</v>
      </c>
      <c r="I26" s="5">
        <v>6</v>
      </c>
      <c r="J26" s="5">
        <v>7</v>
      </c>
      <c r="K26" s="5">
        <v>8</v>
      </c>
      <c r="L26" s="5">
        <v>9</v>
      </c>
      <c r="M26" s="5">
        <v>10</v>
      </c>
      <c r="N26" s="5">
        <v>11</v>
      </c>
      <c r="O26" s="5">
        <v>12</v>
      </c>
      <c r="P26" s="5">
        <v>13</v>
      </c>
      <c r="Q26" s="5">
        <v>14</v>
      </c>
      <c r="R26" s="5">
        <v>15</v>
      </c>
      <c r="S26" s="5">
        <v>16</v>
      </c>
      <c r="T26" s="5">
        <v>17</v>
      </c>
      <c r="U26" s="5">
        <v>18</v>
      </c>
      <c r="V26" s="5">
        <v>19</v>
      </c>
      <c r="W26" s="5">
        <v>20</v>
      </c>
      <c r="X26" s="5">
        <v>21</v>
      </c>
      <c r="Y26" s="5">
        <v>22</v>
      </c>
      <c r="Z26" s="5">
        <v>23</v>
      </c>
      <c r="AA26" s="5">
        <v>24</v>
      </c>
      <c r="AB26" s="5">
        <v>25</v>
      </c>
      <c r="AC26" s="5">
        <v>26</v>
      </c>
      <c r="AD26" s="5">
        <v>27</v>
      </c>
      <c r="AE26" s="5">
        <v>28</v>
      </c>
      <c r="AF26" s="5">
        <v>29</v>
      </c>
      <c r="AG26" s="5">
        <v>30</v>
      </c>
      <c r="AH26" s="5">
        <v>31</v>
      </c>
      <c r="AI26" s="5">
        <v>32</v>
      </c>
      <c r="AJ26" s="5">
        <v>33</v>
      </c>
      <c r="AK26" s="5">
        <v>34</v>
      </c>
      <c r="AL26" s="5">
        <v>35</v>
      </c>
      <c r="AM26" s="5">
        <v>36</v>
      </c>
      <c r="AN26" s="5">
        <v>37</v>
      </c>
      <c r="AO26" s="5">
        <v>38</v>
      </c>
      <c r="AP26" s="5">
        <v>39</v>
      </c>
      <c r="AQ26" s="5">
        <v>40</v>
      </c>
      <c r="AR26" s="5">
        <v>41</v>
      </c>
      <c r="AS26" s="5">
        <v>42</v>
      </c>
      <c r="AT26" s="5">
        <v>43</v>
      </c>
      <c r="AU26" s="5">
        <v>44</v>
      </c>
      <c r="AV26" s="5">
        <v>45</v>
      </c>
      <c r="AW26" s="5">
        <v>46</v>
      </c>
      <c r="AX26" s="5">
        <v>47</v>
      </c>
      <c r="AY26" s="5">
        <v>48</v>
      </c>
      <c r="AZ26" s="5">
        <v>49</v>
      </c>
      <c r="BA26" s="5">
        <v>50</v>
      </c>
      <c r="BB26" s="5">
        <v>51</v>
      </c>
      <c r="BC26" s="5">
        <v>52</v>
      </c>
      <c r="BD26" s="5">
        <v>53</v>
      </c>
      <c r="BE26" s="5">
        <v>54</v>
      </c>
      <c r="BF26" s="5">
        <v>55</v>
      </c>
      <c r="BG26" s="5">
        <v>56</v>
      </c>
      <c r="BH26" s="5">
        <v>57</v>
      </c>
      <c r="BI26" s="5">
        <v>58</v>
      </c>
      <c r="BJ26" s="5">
        <v>59</v>
      </c>
      <c r="BK26" s="5">
        <v>60</v>
      </c>
      <c r="BL26" s="5">
        <v>61</v>
      </c>
      <c r="BM26" s="5">
        <v>62</v>
      </c>
      <c r="BN26" s="5">
        <v>63</v>
      </c>
      <c r="BO26" s="5">
        <v>64</v>
      </c>
      <c r="BP26" s="5">
        <v>65</v>
      </c>
      <c r="BQ26" s="5">
        <v>66</v>
      </c>
      <c r="BR26" s="5">
        <v>67</v>
      </c>
      <c r="BS26" s="5">
        <v>68</v>
      </c>
      <c r="BT26" s="5">
        <v>69</v>
      </c>
      <c r="BU26" s="16">
        <v>1</v>
      </c>
      <c r="BV26" s="16">
        <v>2</v>
      </c>
      <c r="BW26" s="16">
        <v>3</v>
      </c>
      <c r="BX26" s="16">
        <v>4</v>
      </c>
      <c r="BY26" s="16">
        <v>5</v>
      </c>
      <c r="BZ26" s="16">
        <v>6</v>
      </c>
      <c r="CA26" s="16">
        <v>7</v>
      </c>
      <c r="CB26" s="16">
        <v>8</v>
      </c>
      <c r="CC26" s="16">
        <v>9</v>
      </c>
      <c r="CD26" s="16">
        <v>10</v>
      </c>
      <c r="CE26" s="16">
        <v>11</v>
      </c>
      <c r="CF26" s="16">
        <v>12</v>
      </c>
      <c r="CG26" s="16">
        <v>13</v>
      </c>
      <c r="CH26" s="16">
        <v>14</v>
      </c>
      <c r="CI26" s="16">
        <v>15</v>
      </c>
      <c r="CJ26" s="16">
        <v>16</v>
      </c>
      <c r="CK26" s="16">
        <v>17</v>
      </c>
      <c r="CL26" s="16">
        <v>18</v>
      </c>
      <c r="CM26" s="16">
        <v>19</v>
      </c>
      <c r="CN26" s="16">
        <v>20</v>
      </c>
      <c r="CO26" s="16">
        <v>21</v>
      </c>
      <c r="CP26" s="16">
        <v>22</v>
      </c>
      <c r="CQ26" s="16">
        <v>23</v>
      </c>
      <c r="CR26" s="16">
        <v>24</v>
      </c>
      <c r="CS26" s="16">
        <v>25</v>
      </c>
      <c r="CT26" s="16">
        <v>26</v>
      </c>
      <c r="CU26" s="16">
        <v>27</v>
      </c>
      <c r="CV26" s="16">
        <v>28</v>
      </c>
      <c r="CW26" s="16">
        <v>29</v>
      </c>
      <c r="CX26" s="16">
        <v>30</v>
      </c>
      <c r="CY26" s="16">
        <v>31</v>
      </c>
      <c r="CZ26" s="16">
        <v>32</v>
      </c>
      <c r="DA26" s="16">
        <v>33</v>
      </c>
      <c r="DB26" s="16">
        <v>34</v>
      </c>
      <c r="DC26" s="16">
        <v>35</v>
      </c>
      <c r="DD26" s="16">
        <v>36</v>
      </c>
      <c r="DE26" s="16">
        <v>37</v>
      </c>
      <c r="DF26" s="16">
        <v>38</v>
      </c>
      <c r="DG26" s="16">
        <v>39</v>
      </c>
      <c r="DH26" s="16">
        <v>40</v>
      </c>
      <c r="DI26" s="16">
        <v>41</v>
      </c>
      <c r="DJ26" s="16">
        <v>42</v>
      </c>
      <c r="DK26" s="16">
        <v>43</v>
      </c>
      <c r="DL26" s="16">
        <v>44</v>
      </c>
      <c r="DM26" s="16">
        <v>45</v>
      </c>
      <c r="DN26" s="16">
        <v>46</v>
      </c>
      <c r="DO26" s="16">
        <v>47</v>
      </c>
      <c r="DP26" s="16">
        <v>48</v>
      </c>
      <c r="DQ26" s="16">
        <v>49</v>
      </c>
      <c r="DR26" s="16">
        <v>50</v>
      </c>
      <c r="DS26" s="16">
        <v>51</v>
      </c>
      <c r="DT26" s="16">
        <v>52</v>
      </c>
      <c r="DU26" s="16">
        <v>53</v>
      </c>
      <c r="DV26" s="16">
        <v>54</v>
      </c>
      <c r="DW26" s="16">
        <v>55</v>
      </c>
      <c r="DX26" s="16">
        <v>56</v>
      </c>
      <c r="DY26" s="16">
        <v>57</v>
      </c>
      <c r="DZ26" s="16">
        <v>58</v>
      </c>
      <c r="EA26" s="16">
        <v>59</v>
      </c>
      <c r="EB26" s="16">
        <v>60</v>
      </c>
      <c r="EC26" s="16">
        <v>61</v>
      </c>
      <c r="ED26" s="16">
        <v>62</v>
      </c>
      <c r="EE26" s="16">
        <v>63</v>
      </c>
      <c r="EF26" s="16">
        <v>64</v>
      </c>
      <c r="EG26" s="16">
        <v>65</v>
      </c>
      <c r="EH26" s="16">
        <v>66</v>
      </c>
      <c r="EI26" s="16">
        <v>67</v>
      </c>
      <c r="EJ26" s="16">
        <v>68</v>
      </c>
      <c r="EK26" s="16">
        <v>69</v>
      </c>
      <c r="EL26" s="16">
        <v>70</v>
      </c>
      <c r="EM26" s="16">
        <v>71</v>
      </c>
      <c r="EN26" s="16">
        <v>72</v>
      </c>
      <c r="EO26" s="16">
        <v>73</v>
      </c>
    </row>
    <row r="27" spans="2:148" x14ac:dyDescent="0.25">
      <c r="D27" t="s">
        <v>12</v>
      </c>
    </row>
  </sheetData>
  <sheetProtection password="C880" sheet="1" objects="1" scenarios="1" selectLockedCells="1"/>
  <mergeCells count="7">
    <mergeCell ref="EQ6:EQ8"/>
    <mergeCell ref="ER6:ER8"/>
    <mergeCell ref="A2:C5"/>
    <mergeCell ref="D2:V2"/>
    <mergeCell ref="D3:V3"/>
    <mergeCell ref="D4:V4"/>
    <mergeCell ref="D5:V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O254"/>
  <sheetViews>
    <sheetView view="pageBreakPreview" zoomScale="80" zoomScaleNormal="60" zoomScaleSheetLayoutView="80" workbookViewId="0">
      <selection activeCell="I2" sqref="I2"/>
    </sheetView>
  </sheetViews>
  <sheetFormatPr baseColWidth="10" defaultRowHeight="15" x14ac:dyDescent="0.25"/>
  <cols>
    <col min="1" max="1" width="8.85546875" style="10" customWidth="1"/>
    <col min="2" max="2" width="7" style="10" customWidth="1"/>
    <col min="3" max="3" width="41.28515625" style="10" customWidth="1"/>
    <col min="4" max="4" width="5.85546875" style="10" customWidth="1"/>
    <col min="5" max="5" width="7" style="10" customWidth="1"/>
    <col min="6" max="6" width="10.85546875" style="10" customWidth="1"/>
    <col min="7" max="7" width="11.28515625" style="10" customWidth="1"/>
    <col min="8" max="8" width="11.42578125" style="10"/>
    <col min="9" max="9" width="19.85546875" style="10" customWidth="1"/>
    <col min="10" max="10" width="11.42578125" style="10"/>
    <col min="11" max="11" width="24.85546875" style="10" customWidth="1"/>
    <col min="12" max="12" width="11.42578125" style="10"/>
    <col min="13" max="13" width="18" style="10" customWidth="1"/>
    <col min="14" max="14" width="11.42578125" style="10"/>
    <col min="15" max="15" width="12.7109375" style="10" customWidth="1"/>
    <col min="16" max="254" width="11.42578125" style="10"/>
    <col min="255" max="255" width="8.85546875" style="10" customWidth="1"/>
    <col min="256" max="256" width="7" style="10" customWidth="1"/>
    <col min="257" max="257" width="41.28515625" style="10" customWidth="1"/>
    <col min="258" max="258" width="5.85546875" style="10" customWidth="1"/>
    <col min="259" max="259" width="7" style="10" customWidth="1"/>
    <col min="260" max="260" width="7.28515625" style="10" customWidth="1"/>
    <col min="261" max="261" width="7.140625" style="10" customWidth="1"/>
    <col min="262" max="263" width="6.85546875" style="10" customWidth="1"/>
    <col min="264" max="264" width="11.42578125" style="10"/>
    <col min="265" max="265" width="19.85546875" style="10" customWidth="1"/>
    <col min="266" max="270" width="11.42578125" style="10"/>
    <col min="271" max="271" width="12.7109375" style="10" customWidth="1"/>
    <col min="272" max="510" width="11.42578125" style="10"/>
    <col min="511" max="511" width="8.85546875" style="10" customWidth="1"/>
    <col min="512" max="512" width="7" style="10" customWidth="1"/>
    <col min="513" max="513" width="41.28515625" style="10" customWidth="1"/>
    <col min="514" max="514" width="5.85546875" style="10" customWidth="1"/>
    <col min="515" max="515" width="7" style="10" customWidth="1"/>
    <col min="516" max="516" width="7.28515625" style="10" customWidth="1"/>
    <col min="517" max="517" width="7.140625" style="10" customWidth="1"/>
    <col min="518" max="519" width="6.85546875" style="10" customWidth="1"/>
    <col min="520" max="520" width="11.42578125" style="10"/>
    <col min="521" max="521" width="19.85546875" style="10" customWidth="1"/>
    <col min="522" max="526" width="11.42578125" style="10"/>
    <col min="527" max="527" width="12.7109375" style="10" customWidth="1"/>
    <col min="528" max="766" width="11.42578125" style="10"/>
    <col min="767" max="767" width="8.85546875" style="10" customWidth="1"/>
    <col min="768" max="768" width="7" style="10" customWidth="1"/>
    <col min="769" max="769" width="41.28515625" style="10" customWidth="1"/>
    <col min="770" max="770" width="5.85546875" style="10" customWidth="1"/>
    <col min="771" max="771" width="7" style="10" customWidth="1"/>
    <col min="772" max="772" width="7.28515625" style="10" customWidth="1"/>
    <col min="773" max="773" width="7.140625" style="10" customWidth="1"/>
    <col min="774" max="775" width="6.85546875" style="10" customWidth="1"/>
    <col min="776" max="776" width="11.42578125" style="10"/>
    <col min="777" max="777" width="19.85546875" style="10" customWidth="1"/>
    <col min="778" max="782" width="11.42578125" style="10"/>
    <col min="783" max="783" width="12.7109375" style="10" customWidth="1"/>
    <col min="784" max="1022" width="11.42578125" style="10"/>
    <col min="1023" max="1023" width="8.85546875" style="10" customWidth="1"/>
    <col min="1024" max="1024" width="7" style="10" customWidth="1"/>
    <col min="1025" max="1025" width="41.28515625" style="10" customWidth="1"/>
    <col min="1026" max="1026" width="5.85546875" style="10" customWidth="1"/>
    <col min="1027" max="1027" width="7" style="10" customWidth="1"/>
    <col min="1028" max="1028" width="7.28515625" style="10" customWidth="1"/>
    <col min="1029" max="1029" width="7.140625" style="10" customWidth="1"/>
    <col min="1030" max="1031" width="6.85546875" style="10" customWidth="1"/>
    <col min="1032" max="1032" width="11.42578125" style="10"/>
    <col min="1033" max="1033" width="19.85546875" style="10" customWidth="1"/>
    <col min="1034" max="1038" width="11.42578125" style="10"/>
    <col min="1039" max="1039" width="12.7109375" style="10" customWidth="1"/>
    <col min="1040" max="1278" width="11.42578125" style="10"/>
    <col min="1279" max="1279" width="8.85546875" style="10" customWidth="1"/>
    <col min="1280" max="1280" width="7" style="10" customWidth="1"/>
    <col min="1281" max="1281" width="41.28515625" style="10" customWidth="1"/>
    <col min="1282" max="1282" width="5.85546875" style="10" customWidth="1"/>
    <col min="1283" max="1283" width="7" style="10" customWidth="1"/>
    <col min="1284" max="1284" width="7.28515625" style="10" customWidth="1"/>
    <col min="1285" max="1285" width="7.140625" style="10" customWidth="1"/>
    <col min="1286" max="1287" width="6.85546875" style="10" customWidth="1"/>
    <col min="1288" max="1288" width="11.42578125" style="10"/>
    <col min="1289" max="1289" width="19.85546875" style="10" customWidth="1"/>
    <col min="1290" max="1294" width="11.42578125" style="10"/>
    <col min="1295" max="1295" width="12.7109375" style="10" customWidth="1"/>
    <col min="1296" max="1534" width="11.42578125" style="10"/>
    <col min="1535" max="1535" width="8.85546875" style="10" customWidth="1"/>
    <col min="1536" max="1536" width="7" style="10" customWidth="1"/>
    <col min="1537" max="1537" width="41.28515625" style="10" customWidth="1"/>
    <col min="1538" max="1538" width="5.85546875" style="10" customWidth="1"/>
    <col min="1539" max="1539" width="7" style="10" customWidth="1"/>
    <col min="1540" max="1540" width="7.28515625" style="10" customWidth="1"/>
    <col min="1541" max="1541" width="7.140625" style="10" customWidth="1"/>
    <col min="1542" max="1543" width="6.85546875" style="10" customWidth="1"/>
    <col min="1544" max="1544" width="11.42578125" style="10"/>
    <col min="1545" max="1545" width="19.85546875" style="10" customWidth="1"/>
    <col min="1546" max="1550" width="11.42578125" style="10"/>
    <col min="1551" max="1551" width="12.7109375" style="10" customWidth="1"/>
    <col min="1552" max="1790" width="11.42578125" style="10"/>
    <col min="1791" max="1791" width="8.85546875" style="10" customWidth="1"/>
    <col min="1792" max="1792" width="7" style="10" customWidth="1"/>
    <col min="1793" max="1793" width="41.28515625" style="10" customWidth="1"/>
    <col min="1794" max="1794" width="5.85546875" style="10" customWidth="1"/>
    <col min="1795" max="1795" width="7" style="10" customWidth="1"/>
    <col min="1796" max="1796" width="7.28515625" style="10" customWidth="1"/>
    <col min="1797" max="1797" width="7.140625" style="10" customWidth="1"/>
    <col min="1798" max="1799" width="6.85546875" style="10" customWidth="1"/>
    <col min="1800" max="1800" width="11.42578125" style="10"/>
    <col min="1801" max="1801" width="19.85546875" style="10" customWidth="1"/>
    <col min="1802" max="1806" width="11.42578125" style="10"/>
    <col min="1807" max="1807" width="12.7109375" style="10" customWidth="1"/>
    <col min="1808" max="2046" width="11.42578125" style="10"/>
    <col min="2047" max="2047" width="8.85546875" style="10" customWidth="1"/>
    <col min="2048" max="2048" width="7" style="10" customWidth="1"/>
    <col min="2049" max="2049" width="41.28515625" style="10" customWidth="1"/>
    <col min="2050" max="2050" width="5.85546875" style="10" customWidth="1"/>
    <col min="2051" max="2051" width="7" style="10" customWidth="1"/>
    <col min="2052" max="2052" width="7.28515625" style="10" customWidth="1"/>
    <col min="2053" max="2053" width="7.140625" style="10" customWidth="1"/>
    <col min="2054" max="2055" width="6.85546875" style="10" customWidth="1"/>
    <col min="2056" max="2056" width="11.42578125" style="10"/>
    <col min="2057" max="2057" width="19.85546875" style="10" customWidth="1"/>
    <col min="2058" max="2062" width="11.42578125" style="10"/>
    <col min="2063" max="2063" width="12.7109375" style="10" customWidth="1"/>
    <col min="2064" max="2302" width="11.42578125" style="10"/>
    <col min="2303" max="2303" width="8.85546875" style="10" customWidth="1"/>
    <col min="2304" max="2304" width="7" style="10" customWidth="1"/>
    <col min="2305" max="2305" width="41.28515625" style="10" customWidth="1"/>
    <col min="2306" max="2306" width="5.85546875" style="10" customWidth="1"/>
    <col min="2307" max="2307" width="7" style="10" customWidth="1"/>
    <col min="2308" max="2308" width="7.28515625" style="10" customWidth="1"/>
    <col min="2309" max="2309" width="7.140625" style="10" customWidth="1"/>
    <col min="2310" max="2311" width="6.85546875" style="10" customWidth="1"/>
    <col min="2312" max="2312" width="11.42578125" style="10"/>
    <col min="2313" max="2313" width="19.85546875" style="10" customWidth="1"/>
    <col min="2314" max="2318" width="11.42578125" style="10"/>
    <col min="2319" max="2319" width="12.7109375" style="10" customWidth="1"/>
    <col min="2320" max="2558" width="11.42578125" style="10"/>
    <col min="2559" max="2559" width="8.85546875" style="10" customWidth="1"/>
    <col min="2560" max="2560" width="7" style="10" customWidth="1"/>
    <col min="2561" max="2561" width="41.28515625" style="10" customWidth="1"/>
    <col min="2562" max="2562" width="5.85546875" style="10" customWidth="1"/>
    <col min="2563" max="2563" width="7" style="10" customWidth="1"/>
    <col min="2564" max="2564" width="7.28515625" style="10" customWidth="1"/>
    <col min="2565" max="2565" width="7.140625" style="10" customWidth="1"/>
    <col min="2566" max="2567" width="6.85546875" style="10" customWidth="1"/>
    <col min="2568" max="2568" width="11.42578125" style="10"/>
    <col min="2569" max="2569" width="19.85546875" style="10" customWidth="1"/>
    <col min="2570" max="2574" width="11.42578125" style="10"/>
    <col min="2575" max="2575" width="12.7109375" style="10" customWidth="1"/>
    <col min="2576" max="2814" width="11.42578125" style="10"/>
    <col min="2815" max="2815" width="8.85546875" style="10" customWidth="1"/>
    <col min="2816" max="2816" width="7" style="10" customWidth="1"/>
    <col min="2817" max="2817" width="41.28515625" style="10" customWidth="1"/>
    <col min="2818" max="2818" width="5.85546875" style="10" customWidth="1"/>
    <col min="2819" max="2819" width="7" style="10" customWidth="1"/>
    <col min="2820" max="2820" width="7.28515625" style="10" customWidth="1"/>
    <col min="2821" max="2821" width="7.140625" style="10" customWidth="1"/>
    <col min="2822" max="2823" width="6.85546875" style="10" customWidth="1"/>
    <col min="2824" max="2824" width="11.42578125" style="10"/>
    <col min="2825" max="2825" width="19.85546875" style="10" customWidth="1"/>
    <col min="2826" max="2830" width="11.42578125" style="10"/>
    <col min="2831" max="2831" width="12.7109375" style="10" customWidth="1"/>
    <col min="2832" max="3070" width="11.42578125" style="10"/>
    <col min="3071" max="3071" width="8.85546875" style="10" customWidth="1"/>
    <col min="3072" max="3072" width="7" style="10" customWidth="1"/>
    <col min="3073" max="3073" width="41.28515625" style="10" customWidth="1"/>
    <col min="3074" max="3074" width="5.85546875" style="10" customWidth="1"/>
    <col min="3075" max="3075" width="7" style="10" customWidth="1"/>
    <col min="3076" max="3076" width="7.28515625" style="10" customWidth="1"/>
    <col min="3077" max="3077" width="7.140625" style="10" customWidth="1"/>
    <col min="3078" max="3079" width="6.85546875" style="10" customWidth="1"/>
    <col min="3080" max="3080" width="11.42578125" style="10"/>
    <col min="3081" max="3081" width="19.85546875" style="10" customWidth="1"/>
    <col min="3082" max="3086" width="11.42578125" style="10"/>
    <col min="3087" max="3087" width="12.7109375" style="10" customWidth="1"/>
    <col min="3088" max="3326" width="11.42578125" style="10"/>
    <col min="3327" max="3327" width="8.85546875" style="10" customWidth="1"/>
    <col min="3328" max="3328" width="7" style="10" customWidth="1"/>
    <col min="3329" max="3329" width="41.28515625" style="10" customWidth="1"/>
    <col min="3330" max="3330" width="5.85546875" style="10" customWidth="1"/>
    <col min="3331" max="3331" width="7" style="10" customWidth="1"/>
    <col min="3332" max="3332" width="7.28515625" style="10" customWidth="1"/>
    <col min="3333" max="3333" width="7.140625" style="10" customWidth="1"/>
    <col min="3334" max="3335" width="6.85546875" style="10" customWidth="1"/>
    <col min="3336" max="3336" width="11.42578125" style="10"/>
    <col min="3337" max="3337" width="19.85546875" style="10" customWidth="1"/>
    <col min="3338" max="3342" width="11.42578125" style="10"/>
    <col min="3343" max="3343" width="12.7109375" style="10" customWidth="1"/>
    <col min="3344" max="3582" width="11.42578125" style="10"/>
    <col min="3583" max="3583" width="8.85546875" style="10" customWidth="1"/>
    <col min="3584" max="3584" width="7" style="10" customWidth="1"/>
    <col min="3585" max="3585" width="41.28515625" style="10" customWidth="1"/>
    <col min="3586" max="3586" width="5.85546875" style="10" customWidth="1"/>
    <col min="3587" max="3587" width="7" style="10" customWidth="1"/>
    <col min="3588" max="3588" width="7.28515625" style="10" customWidth="1"/>
    <col min="3589" max="3589" width="7.140625" style="10" customWidth="1"/>
    <col min="3590" max="3591" width="6.85546875" style="10" customWidth="1"/>
    <col min="3592" max="3592" width="11.42578125" style="10"/>
    <col min="3593" max="3593" width="19.85546875" style="10" customWidth="1"/>
    <col min="3594" max="3598" width="11.42578125" style="10"/>
    <col min="3599" max="3599" width="12.7109375" style="10" customWidth="1"/>
    <col min="3600" max="3838" width="11.42578125" style="10"/>
    <col min="3839" max="3839" width="8.85546875" style="10" customWidth="1"/>
    <col min="3840" max="3840" width="7" style="10" customWidth="1"/>
    <col min="3841" max="3841" width="41.28515625" style="10" customWidth="1"/>
    <col min="3842" max="3842" width="5.85546875" style="10" customWidth="1"/>
    <col min="3843" max="3843" width="7" style="10" customWidth="1"/>
    <col min="3844" max="3844" width="7.28515625" style="10" customWidth="1"/>
    <col min="3845" max="3845" width="7.140625" style="10" customWidth="1"/>
    <col min="3846" max="3847" width="6.85546875" style="10" customWidth="1"/>
    <col min="3848" max="3848" width="11.42578125" style="10"/>
    <col min="3849" max="3849" width="19.85546875" style="10" customWidth="1"/>
    <col min="3850" max="3854" width="11.42578125" style="10"/>
    <col min="3855" max="3855" width="12.7109375" style="10" customWidth="1"/>
    <col min="3856" max="4094" width="11.42578125" style="10"/>
    <col min="4095" max="4095" width="8.85546875" style="10" customWidth="1"/>
    <col min="4096" max="4096" width="7" style="10" customWidth="1"/>
    <col min="4097" max="4097" width="41.28515625" style="10" customWidth="1"/>
    <col min="4098" max="4098" width="5.85546875" style="10" customWidth="1"/>
    <col min="4099" max="4099" width="7" style="10" customWidth="1"/>
    <col min="4100" max="4100" width="7.28515625" style="10" customWidth="1"/>
    <col min="4101" max="4101" width="7.140625" style="10" customWidth="1"/>
    <col min="4102" max="4103" width="6.85546875" style="10" customWidth="1"/>
    <col min="4104" max="4104" width="11.42578125" style="10"/>
    <col min="4105" max="4105" width="19.85546875" style="10" customWidth="1"/>
    <col min="4106" max="4110" width="11.42578125" style="10"/>
    <col min="4111" max="4111" width="12.7109375" style="10" customWidth="1"/>
    <col min="4112" max="4350" width="11.42578125" style="10"/>
    <col min="4351" max="4351" width="8.85546875" style="10" customWidth="1"/>
    <col min="4352" max="4352" width="7" style="10" customWidth="1"/>
    <col min="4353" max="4353" width="41.28515625" style="10" customWidth="1"/>
    <col min="4354" max="4354" width="5.85546875" style="10" customWidth="1"/>
    <col min="4355" max="4355" width="7" style="10" customWidth="1"/>
    <col min="4356" max="4356" width="7.28515625" style="10" customWidth="1"/>
    <col min="4357" max="4357" width="7.140625" style="10" customWidth="1"/>
    <col min="4358" max="4359" width="6.85546875" style="10" customWidth="1"/>
    <col min="4360" max="4360" width="11.42578125" style="10"/>
    <col min="4361" max="4361" width="19.85546875" style="10" customWidth="1"/>
    <col min="4362" max="4366" width="11.42578125" style="10"/>
    <col min="4367" max="4367" width="12.7109375" style="10" customWidth="1"/>
    <col min="4368" max="4606" width="11.42578125" style="10"/>
    <col min="4607" max="4607" width="8.85546875" style="10" customWidth="1"/>
    <col min="4608" max="4608" width="7" style="10" customWidth="1"/>
    <col min="4609" max="4609" width="41.28515625" style="10" customWidth="1"/>
    <col min="4610" max="4610" width="5.85546875" style="10" customWidth="1"/>
    <col min="4611" max="4611" width="7" style="10" customWidth="1"/>
    <col min="4612" max="4612" width="7.28515625" style="10" customWidth="1"/>
    <col min="4613" max="4613" width="7.140625" style="10" customWidth="1"/>
    <col min="4614" max="4615" width="6.85546875" style="10" customWidth="1"/>
    <col min="4616" max="4616" width="11.42578125" style="10"/>
    <col min="4617" max="4617" width="19.85546875" style="10" customWidth="1"/>
    <col min="4618" max="4622" width="11.42578125" style="10"/>
    <col min="4623" max="4623" width="12.7109375" style="10" customWidth="1"/>
    <col min="4624" max="4862" width="11.42578125" style="10"/>
    <col min="4863" max="4863" width="8.85546875" style="10" customWidth="1"/>
    <col min="4864" max="4864" width="7" style="10" customWidth="1"/>
    <col min="4865" max="4865" width="41.28515625" style="10" customWidth="1"/>
    <col min="4866" max="4866" width="5.85546875" style="10" customWidth="1"/>
    <col min="4867" max="4867" width="7" style="10" customWidth="1"/>
    <col min="4868" max="4868" width="7.28515625" style="10" customWidth="1"/>
    <col min="4869" max="4869" width="7.140625" style="10" customWidth="1"/>
    <col min="4870" max="4871" width="6.85546875" style="10" customWidth="1"/>
    <col min="4872" max="4872" width="11.42578125" style="10"/>
    <col min="4873" max="4873" width="19.85546875" style="10" customWidth="1"/>
    <col min="4874" max="4878" width="11.42578125" style="10"/>
    <col min="4879" max="4879" width="12.7109375" style="10" customWidth="1"/>
    <col min="4880" max="5118" width="11.42578125" style="10"/>
    <col min="5119" max="5119" width="8.85546875" style="10" customWidth="1"/>
    <col min="5120" max="5120" width="7" style="10" customWidth="1"/>
    <col min="5121" max="5121" width="41.28515625" style="10" customWidth="1"/>
    <col min="5122" max="5122" width="5.85546875" style="10" customWidth="1"/>
    <col min="5123" max="5123" width="7" style="10" customWidth="1"/>
    <col min="5124" max="5124" width="7.28515625" style="10" customWidth="1"/>
    <col min="5125" max="5125" width="7.140625" style="10" customWidth="1"/>
    <col min="5126" max="5127" width="6.85546875" style="10" customWidth="1"/>
    <col min="5128" max="5128" width="11.42578125" style="10"/>
    <col min="5129" max="5129" width="19.85546875" style="10" customWidth="1"/>
    <col min="5130" max="5134" width="11.42578125" style="10"/>
    <col min="5135" max="5135" width="12.7109375" style="10" customWidth="1"/>
    <col min="5136" max="5374" width="11.42578125" style="10"/>
    <col min="5375" max="5375" width="8.85546875" style="10" customWidth="1"/>
    <col min="5376" max="5376" width="7" style="10" customWidth="1"/>
    <col min="5377" max="5377" width="41.28515625" style="10" customWidth="1"/>
    <col min="5378" max="5378" width="5.85546875" style="10" customWidth="1"/>
    <col min="5379" max="5379" width="7" style="10" customWidth="1"/>
    <col min="5380" max="5380" width="7.28515625" style="10" customWidth="1"/>
    <col min="5381" max="5381" width="7.140625" style="10" customWidth="1"/>
    <col min="5382" max="5383" width="6.85546875" style="10" customWidth="1"/>
    <col min="5384" max="5384" width="11.42578125" style="10"/>
    <col min="5385" max="5385" width="19.85546875" style="10" customWidth="1"/>
    <col min="5386" max="5390" width="11.42578125" style="10"/>
    <col min="5391" max="5391" width="12.7109375" style="10" customWidth="1"/>
    <col min="5392" max="5630" width="11.42578125" style="10"/>
    <col min="5631" max="5631" width="8.85546875" style="10" customWidth="1"/>
    <col min="5632" max="5632" width="7" style="10" customWidth="1"/>
    <col min="5633" max="5633" width="41.28515625" style="10" customWidth="1"/>
    <col min="5634" max="5634" width="5.85546875" style="10" customWidth="1"/>
    <col min="5635" max="5635" width="7" style="10" customWidth="1"/>
    <col min="5636" max="5636" width="7.28515625" style="10" customWidth="1"/>
    <col min="5637" max="5637" width="7.140625" style="10" customWidth="1"/>
    <col min="5638" max="5639" width="6.85546875" style="10" customWidth="1"/>
    <col min="5640" max="5640" width="11.42578125" style="10"/>
    <col min="5641" max="5641" width="19.85546875" style="10" customWidth="1"/>
    <col min="5642" max="5646" width="11.42578125" style="10"/>
    <col min="5647" max="5647" width="12.7109375" style="10" customWidth="1"/>
    <col min="5648" max="5886" width="11.42578125" style="10"/>
    <col min="5887" max="5887" width="8.85546875" style="10" customWidth="1"/>
    <col min="5888" max="5888" width="7" style="10" customWidth="1"/>
    <col min="5889" max="5889" width="41.28515625" style="10" customWidth="1"/>
    <col min="5890" max="5890" width="5.85546875" style="10" customWidth="1"/>
    <col min="5891" max="5891" width="7" style="10" customWidth="1"/>
    <col min="5892" max="5892" width="7.28515625" style="10" customWidth="1"/>
    <col min="5893" max="5893" width="7.140625" style="10" customWidth="1"/>
    <col min="5894" max="5895" width="6.85546875" style="10" customWidth="1"/>
    <col min="5896" max="5896" width="11.42578125" style="10"/>
    <col min="5897" max="5897" width="19.85546875" style="10" customWidth="1"/>
    <col min="5898" max="5902" width="11.42578125" style="10"/>
    <col min="5903" max="5903" width="12.7109375" style="10" customWidth="1"/>
    <col min="5904" max="6142" width="11.42578125" style="10"/>
    <col min="6143" max="6143" width="8.85546875" style="10" customWidth="1"/>
    <col min="6144" max="6144" width="7" style="10" customWidth="1"/>
    <col min="6145" max="6145" width="41.28515625" style="10" customWidth="1"/>
    <col min="6146" max="6146" width="5.85546875" style="10" customWidth="1"/>
    <col min="6147" max="6147" width="7" style="10" customWidth="1"/>
    <col min="6148" max="6148" width="7.28515625" style="10" customWidth="1"/>
    <col min="6149" max="6149" width="7.140625" style="10" customWidth="1"/>
    <col min="6150" max="6151" width="6.85546875" style="10" customWidth="1"/>
    <col min="6152" max="6152" width="11.42578125" style="10"/>
    <col min="6153" max="6153" width="19.85546875" style="10" customWidth="1"/>
    <col min="6154" max="6158" width="11.42578125" style="10"/>
    <col min="6159" max="6159" width="12.7109375" style="10" customWidth="1"/>
    <col min="6160" max="6398" width="11.42578125" style="10"/>
    <col min="6399" max="6399" width="8.85546875" style="10" customWidth="1"/>
    <col min="6400" max="6400" width="7" style="10" customWidth="1"/>
    <col min="6401" max="6401" width="41.28515625" style="10" customWidth="1"/>
    <col min="6402" max="6402" width="5.85546875" style="10" customWidth="1"/>
    <col min="6403" max="6403" width="7" style="10" customWidth="1"/>
    <col min="6404" max="6404" width="7.28515625" style="10" customWidth="1"/>
    <col min="6405" max="6405" width="7.140625" style="10" customWidth="1"/>
    <col min="6406" max="6407" width="6.85546875" style="10" customWidth="1"/>
    <col min="6408" max="6408" width="11.42578125" style="10"/>
    <col min="6409" max="6409" width="19.85546875" style="10" customWidth="1"/>
    <col min="6410" max="6414" width="11.42578125" style="10"/>
    <col min="6415" max="6415" width="12.7109375" style="10" customWidth="1"/>
    <col min="6416" max="6654" width="11.42578125" style="10"/>
    <col min="6655" max="6655" width="8.85546875" style="10" customWidth="1"/>
    <col min="6656" max="6656" width="7" style="10" customWidth="1"/>
    <col min="6657" max="6657" width="41.28515625" style="10" customWidth="1"/>
    <col min="6658" max="6658" width="5.85546875" style="10" customWidth="1"/>
    <col min="6659" max="6659" width="7" style="10" customWidth="1"/>
    <col min="6660" max="6660" width="7.28515625" style="10" customWidth="1"/>
    <col min="6661" max="6661" width="7.140625" style="10" customWidth="1"/>
    <col min="6662" max="6663" width="6.85546875" style="10" customWidth="1"/>
    <col min="6664" max="6664" width="11.42578125" style="10"/>
    <col min="6665" max="6665" width="19.85546875" style="10" customWidth="1"/>
    <col min="6666" max="6670" width="11.42578125" style="10"/>
    <col min="6671" max="6671" width="12.7109375" style="10" customWidth="1"/>
    <col min="6672" max="6910" width="11.42578125" style="10"/>
    <col min="6911" max="6911" width="8.85546875" style="10" customWidth="1"/>
    <col min="6912" max="6912" width="7" style="10" customWidth="1"/>
    <col min="6913" max="6913" width="41.28515625" style="10" customWidth="1"/>
    <col min="6914" max="6914" width="5.85546875" style="10" customWidth="1"/>
    <col min="6915" max="6915" width="7" style="10" customWidth="1"/>
    <col min="6916" max="6916" width="7.28515625" style="10" customWidth="1"/>
    <col min="6917" max="6917" width="7.140625" style="10" customWidth="1"/>
    <col min="6918" max="6919" width="6.85546875" style="10" customWidth="1"/>
    <col min="6920" max="6920" width="11.42578125" style="10"/>
    <col min="6921" max="6921" width="19.85546875" style="10" customWidth="1"/>
    <col min="6922" max="6926" width="11.42578125" style="10"/>
    <col min="6927" max="6927" width="12.7109375" style="10" customWidth="1"/>
    <col min="6928" max="7166" width="11.42578125" style="10"/>
    <col min="7167" max="7167" width="8.85546875" style="10" customWidth="1"/>
    <col min="7168" max="7168" width="7" style="10" customWidth="1"/>
    <col min="7169" max="7169" width="41.28515625" style="10" customWidth="1"/>
    <col min="7170" max="7170" width="5.85546875" style="10" customWidth="1"/>
    <col min="7171" max="7171" width="7" style="10" customWidth="1"/>
    <col min="7172" max="7172" width="7.28515625" style="10" customWidth="1"/>
    <col min="7173" max="7173" width="7.140625" style="10" customWidth="1"/>
    <col min="7174" max="7175" width="6.85546875" style="10" customWidth="1"/>
    <col min="7176" max="7176" width="11.42578125" style="10"/>
    <col min="7177" max="7177" width="19.85546875" style="10" customWidth="1"/>
    <col min="7178" max="7182" width="11.42578125" style="10"/>
    <col min="7183" max="7183" width="12.7109375" style="10" customWidth="1"/>
    <col min="7184" max="7422" width="11.42578125" style="10"/>
    <col min="7423" max="7423" width="8.85546875" style="10" customWidth="1"/>
    <col min="7424" max="7424" width="7" style="10" customWidth="1"/>
    <col min="7425" max="7425" width="41.28515625" style="10" customWidth="1"/>
    <col min="7426" max="7426" width="5.85546875" style="10" customWidth="1"/>
    <col min="7427" max="7427" width="7" style="10" customWidth="1"/>
    <col min="7428" max="7428" width="7.28515625" style="10" customWidth="1"/>
    <col min="7429" max="7429" width="7.140625" style="10" customWidth="1"/>
    <col min="7430" max="7431" width="6.85546875" style="10" customWidth="1"/>
    <col min="7432" max="7432" width="11.42578125" style="10"/>
    <col min="7433" max="7433" width="19.85546875" style="10" customWidth="1"/>
    <col min="7434" max="7438" width="11.42578125" style="10"/>
    <col min="7439" max="7439" width="12.7109375" style="10" customWidth="1"/>
    <col min="7440" max="7678" width="11.42578125" style="10"/>
    <col min="7679" max="7679" width="8.85546875" style="10" customWidth="1"/>
    <col min="7680" max="7680" width="7" style="10" customWidth="1"/>
    <col min="7681" max="7681" width="41.28515625" style="10" customWidth="1"/>
    <col min="7682" max="7682" width="5.85546875" style="10" customWidth="1"/>
    <col min="7683" max="7683" width="7" style="10" customWidth="1"/>
    <col min="7684" max="7684" width="7.28515625" style="10" customWidth="1"/>
    <col min="7685" max="7685" width="7.140625" style="10" customWidth="1"/>
    <col min="7686" max="7687" width="6.85546875" style="10" customWidth="1"/>
    <col min="7688" max="7688" width="11.42578125" style="10"/>
    <col min="7689" max="7689" width="19.85546875" style="10" customWidth="1"/>
    <col min="7690" max="7694" width="11.42578125" style="10"/>
    <col min="7695" max="7695" width="12.7109375" style="10" customWidth="1"/>
    <col min="7696" max="7934" width="11.42578125" style="10"/>
    <col min="7935" max="7935" width="8.85546875" style="10" customWidth="1"/>
    <col min="7936" max="7936" width="7" style="10" customWidth="1"/>
    <col min="7937" max="7937" width="41.28515625" style="10" customWidth="1"/>
    <col min="7938" max="7938" width="5.85546875" style="10" customWidth="1"/>
    <col min="7939" max="7939" width="7" style="10" customWidth="1"/>
    <col min="7940" max="7940" width="7.28515625" style="10" customWidth="1"/>
    <col min="7941" max="7941" width="7.140625" style="10" customWidth="1"/>
    <col min="7942" max="7943" width="6.85546875" style="10" customWidth="1"/>
    <col min="7944" max="7944" width="11.42578125" style="10"/>
    <col min="7945" max="7945" width="19.85546875" style="10" customWidth="1"/>
    <col min="7946" max="7950" width="11.42578125" style="10"/>
    <col min="7951" max="7951" width="12.7109375" style="10" customWidth="1"/>
    <col min="7952" max="8190" width="11.42578125" style="10"/>
    <col min="8191" max="8191" width="8.85546875" style="10" customWidth="1"/>
    <col min="8192" max="8192" width="7" style="10" customWidth="1"/>
    <col min="8193" max="8193" width="41.28515625" style="10" customWidth="1"/>
    <col min="8194" max="8194" width="5.85546875" style="10" customWidth="1"/>
    <col min="8195" max="8195" width="7" style="10" customWidth="1"/>
    <col min="8196" max="8196" width="7.28515625" style="10" customWidth="1"/>
    <col min="8197" max="8197" width="7.140625" style="10" customWidth="1"/>
    <col min="8198" max="8199" width="6.85546875" style="10" customWidth="1"/>
    <col min="8200" max="8200" width="11.42578125" style="10"/>
    <col min="8201" max="8201" width="19.85546875" style="10" customWidth="1"/>
    <col min="8202" max="8206" width="11.42578125" style="10"/>
    <col min="8207" max="8207" width="12.7109375" style="10" customWidth="1"/>
    <col min="8208" max="8446" width="11.42578125" style="10"/>
    <col min="8447" max="8447" width="8.85546875" style="10" customWidth="1"/>
    <col min="8448" max="8448" width="7" style="10" customWidth="1"/>
    <col min="8449" max="8449" width="41.28515625" style="10" customWidth="1"/>
    <col min="8450" max="8450" width="5.85546875" style="10" customWidth="1"/>
    <col min="8451" max="8451" width="7" style="10" customWidth="1"/>
    <col min="8452" max="8452" width="7.28515625" style="10" customWidth="1"/>
    <col min="8453" max="8453" width="7.140625" style="10" customWidth="1"/>
    <col min="8454" max="8455" width="6.85546875" style="10" customWidth="1"/>
    <col min="8456" max="8456" width="11.42578125" style="10"/>
    <col min="8457" max="8457" width="19.85546875" style="10" customWidth="1"/>
    <col min="8458" max="8462" width="11.42578125" style="10"/>
    <col min="8463" max="8463" width="12.7109375" style="10" customWidth="1"/>
    <col min="8464" max="8702" width="11.42578125" style="10"/>
    <col min="8703" max="8703" width="8.85546875" style="10" customWidth="1"/>
    <col min="8704" max="8704" width="7" style="10" customWidth="1"/>
    <col min="8705" max="8705" width="41.28515625" style="10" customWidth="1"/>
    <col min="8706" max="8706" width="5.85546875" style="10" customWidth="1"/>
    <col min="8707" max="8707" width="7" style="10" customWidth="1"/>
    <col min="8708" max="8708" width="7.28515625" style="10" customWidth="1"/>
    <col min="8709" max="8709" width="7.140625" style="10" customWidth="1"/>
    <col min="8710" max="8711" width="6.85546875" style="10" customWidth="1"/>
    <col min="8712" max="8712" width="11.42578125" style="10"/>
    <col min="8713" max="8713" width="19.85546875" style="10" customWidth="1"/>
    <col min="8714" max="8718" width="11.42578125" style="10"/>
    <col min="8719" max="8719" width="12.7109375" style="10" customWidth="1"/>
    <col min="8720" max="8958" width="11.42578125" style="10"/>
    <col min="8959" max="8959" width="8.85546875" style="10" customWidth="1"/>
    <col min="8960" max="8960" width="7" style="10" customWidth="1"/>
    <col min="8961" max="8961" width="41.28515625" style="10" customWidth="1"/>
    <col min="8962" max="8962" width="5.85546875" style="10" customWidth="1"/>
    <col min="8963" max="8963" width="7" style="10" customWidth="1"/>
    <col min="8964" max="8964" width="7.28515625" style="10" customWidth="1"/>
    <col min="8965" max="8965" width="7.140625" style="10" customWidth="1"/>
    <col min="8966" max="8967" width="6.85546875" style="10" customWidth="1"/>
    <col min="8968" max="8968" width="11.42578125" style="10"/>
    <col min="8969" max="8969" width="19.85546875" style="10" customWidth="1"/>
    <col min="8970" max="8974" width="11.42578125" style="10"/>
    <col min="8975" max="8975" width="12.7109375" style="10" customWidth="1"/>
    <col min="8976" max="9214" width="11.42578125" style="10"/>
    <col min="9215" max="9215" width="8.85546875" style="10" customWidth="1"/>
    <col min="9216" max="9216" width="7" style="10" customWidth="1"/>
    <col min="9217" max="9217" width="41.28515625" style="10" customWidth="1"/>
    <col min="9218" max="9218" width="5.85546875" style="10" customWidth="1"/>
    <col min="9219" max="9219" width="7" style="10" customWidth="1"/>
    <col min="9220" max="9220" width="7.28515625" style="10" customWidth="1"/>
    <col min="9221" max="9221" width="7.140625" style="10" customWidth="1"/>
    <col min="9222" max="9223" width="6.85546875" style="10" customWidth="1"/>
    <col min="9224" max="9224" width="11.42578125" style="10"/>
    <col min="9225" max="9225" width="19.85546875" style="10" customWidth="1"/>
    <col min="9226" max="9230" width="11.42578125" style="10"/>
    <col min="9231" max="9231" width="12.7109375" style="10" customWidth="1"/>
    <col min="9232" max="9470" width="11.42578125" style="10"/>
    <col min="9471" max="9471" width="8.85546875" style="10" customWidth="1"/>
    <col min="9472" max="9472" width="7" style="10" customWidth="1"/>
    <col min="9473" max="9473" width="41.28515625" style="10" customWidth="1"/>
    <col min="9474" max="9474" width="5.85546875" style="10" customWidth="1"/>
    <col min="9475" max="9475" width="7" style="10" customWidth="1"/>
    <col min="9476" max="9476" width="7.28515625" style="10" customWidth="1"/>
    <col min="9477" max="9477" width="7.140625" style="10" customWidth="1"/>
    <col min="9478" max="9479" width="6.85546875" style="10" customWidth="1"/>
    <col min="9480" max="9480" width="11.42578125" style="10"/>
    <col min="9481" max="9481" width="19.85546875" style="10" customWidth="1"/>
    <col min="9482" max="9486" width="11.42578125" style="10"/>
    <col min="9487" max="9487" width="12.7109375" style="10" customWidth="1"/>
    <col min="9488" max="9726" width="11.42578125" style="10"/>
    <col min="9727" max="9727" width="8.85546875" style="10" customWidth="1"/>
    <col min="9728" max="9728" width="7" style="10" customWidth="1"/>
    <col min="9729" max="9729" width="41.28515625" style="10" customWidth="1"/>
    <col min="9730" max="9730" width="5.85546875" style="10" customWidth="1"/>
    <col min="9731" max="9731" width="7" style="10" customWidth="1"/>
    <col min="9732" max="9732" width="7.28515625" style="10" customWidth="1"/>
    <col min="9733" max="9733" width="7.140625" style="10" customWidth="1"/>
    <col min="9734" max="9735" width="6.85546875" style="10" customWidth="1"/>
    <col min="9736" max="9736" width="11.42578125" style="10"/>
    <col min="9737" max="9737" width="19.85546875" style="10" customWidth="1"/>
    <col min="9738" max="9742" width="11.42578125" style="10"/>
    <col min="9743" max="9743" width="12.7109375" style="10" customWidth="1"/>
    <col min="9744" max="9982" width="11.42578125" style="10"/>
    <col min="9983" max="9983" width="8.85546875" style="10" customWidth="1"/>
    <col min="9984" max="9984" width="7" style="10" customWidth="1"/>
    <col min="9985" max="9985" width="41.28515625" style="10" customWidth="1"/>
    <col min="9986" max="9986" width="5.85546875" style="10" customWidth="1"/>
    <col min="9987" max="9987" width="7" style="10" customWidth="1"/>
    <col min="9988" max="9988" width="7.28515625" style="10" customWidth="1"/>
    <col min="9989" max="9989" width="7.140625" style="10" customWidth="1"/>
    <col min="9990" max="9991" width="6.85546875" style="10" customWidth="1"/>
    <col min="9992" max="9992" width="11.42578125" style="10"/>
    <col min="9993" max="9993" width="19.85546875" style="10" customWidth="1"/>
    <col min="9994" max="9998" width="11.42578125" style="10"/>
    <col min="9999" max="9999" width="12.7109375" style="10" customWidth="1"/>
    <col min="10000" max="10238" width="11.42578125" style="10"/>
    <col min="10239" max="10239" width="8.85546875" style="10" customWidth="1"/>
    <col min="10240" max="10240" width="7" style="10" customWidth="1"/>
    <col min="10241" max="10241" width="41.28515625" style="10" customWidth="1"/>
    <col min="10242" max="10242" width="5.85546875" style="10" customWidth="1"/>
    <col min="10243" max="10243" width="7" style="10" customWidth="1"/>
    <col min="10244" max="10244" width="7.28515625" style="10" customWidth="1"/>
    <col min="10245" max="10245" width="7.140625" style="10" customWidth="1"/>
    <col min="10246" max="10247" width="6.85546875" style="10" customWidth="1"/>
    <col min="10248" max="10248" width="11.42578125" style="10"/>
    <col min="10249" max="10249" width="19.85546875" style="10" customWidth="1"/>
    <col min="10250" max="10254" width="11.42578125" style="10"/>
    <col min="10255" max="10255" width="12.7109375" style="10" customWidth="1"/>
    <col min="10256" max="10494" width="11.42578125" style="10"/>
    <col min="10495" max="10495" width="8.85546875" style="10" customWidth="1"/>
    <col min="10496" max="10496" width="7" style="10" customWidth="1"/>
    <col min="10497" max="10497" width="41.28515625" style="10" customWidth="1"/>
    <col min="10498" max="10498" width="5.85546875" style="10" customWidth="1"/>
    <col min="10499" max="10499" width="7" style="10" customWidth="1"/>
    <col min="10500" max="10500" width="7.28515625" style="10" customWidth="1"/>
    <col min="10501" max="10501" width="7.140625" style="10" customWidth="1"/>
    <col min="10502" max="10503" width="6.85546875" style="10" customWidth="1"/>
    <col min="10504" max="10504" width="11.42578125" style="10"/>
    <col min="10505" max="10505" width="19.85546875" style="10" customWidth="1"/>
    <col min="10506" max="10510" width="11.42578125" style="10"/>
    <col min="10511" max="10511" width="12.7109375" style="10" customWidth="1"/>
    <col min="10512" max="10750" width="11.42578125" style="10"/>
    <col min="10751" max="10751" width="8.85546875" style="10" customWidth="1"/>
    <col min="10752" max="10752" width="7" style="10" customWidth="1"/>
    <col min="10753" max="10753" width="41.28515625" style="10" customWidth="1"/>
    <col min="10754" max="10754" width="5.85546875" style="10" customWidth="1"/>
    <col min="10755" max="10755" width="7" style="10" customWidth="1"/>
    <col min="10756" max="10756" width="7.28515625" style="10" customWidth="1"/>
    <col min="10757" max="10757" width="7.140625" style="10" customWidth="1"/>
    <col min="10758" max="10759" width="6.85546875" style="10" customWidth="1"/>
    <col min="10760" max="10760" width="11.42578125" style="10"/>
    <col min="10761" max="10761" width="19.85546875" style="10" customWidth="1"/>
    <col min="10762" max="10766" width="11.42578125" style="10"/>
    <col min="10767" max="10767" width="12.7109375" style="10" customWidth="1"/>
    <col min="10768" max="11006" width="11.42578125" style="10"/>
    <col min="11007" max="11007" width="8.85546875" style="10" customWidth="1"/>
    <col min="11008" max="11008" width="7" style="10" customWidth="1"/>
    <col min="11009" max="11009" width="41.28515625" style="10" customWidth="1"/>
    <col min="11010" max="11010" width="5.85546875" style="10" customWidth="1"/>
    <col min="11011" max="11011" width="7" style="10" customWidth="1"/>
    <col min="11012" max="11012" width="7.28515625" style="10" customWidth="1"/>
    <col min="11013" max="11013" width="7.140625" style="10" customWidth="1"/>
    <col min="11014" max="11015" width="6.85546875" style="10" customWidth="1"/>
    <col min="11016" max="11016" width="11.42578125" style="10"/>
    <col min="11017" max="11017" width="19.85546875" style="10" customWidth="1"/>
    <col min="11018" max="11022" width="11.42578125" style="10"/>
    <col min="11023" max="11023" width="12.7109375" style="10" customWidth="1"/>
    <col min="11024" max="11262" width="11.42578125" style="10"/>
    <col min="11263" max="11263" width="8.85546875" style="10" customWidth="1"/>
    <col min="11264" max="11264" width="7" style="10" customWidth="1"/>
    <col min="11265" max="11265" width="41.28515625" style="10" customWidth="1"/>
    <col min="11266" max="11266" width="5.85546875" style="10" customWidth="1"/>
    <col min="11267" max="11267" width="7" style="10" customWidth="1"/>
    <col min="11268" max="11268" width="7.28515625" style="10" customWidth="1"/>
    <col min="11269" max="11269" width="7.140625" style="10" customWidth="1"/>
    <col min="11270" max="11271" width="6.85546875" style="10" customWidth="1"/>
    <col min="11272" max="11272" width="11.42578125" style="10"/>
    <col min="11273" max="11273" width="19.85546875" style="10" customWidth="1"/>
    <col min="11274" max="11278" width="11.42578125" style="10"/>
    <col min="11279" max="11279" width="12.7109375" style="10" customWidth="1"/>
    <col min="11280" max="11518" width="11.42578125" style="10"/>
    <col min="11519" max="11519" width="8.85546875" style="10" customWidth="1"/>
    <col min="11520" max="11520" width="7" style="10" customWidth="1"/>
    <col min="11521" max="11521" width="41.28515625" style="10" customWidth="1"/>
    <col min="11522" max="11522" width="5.85546875" style="10" customWidth="1"/>
    <col min="11523" max="11523" width="7" style="10" customWidth="1"/>
    <col min="11524" max="11524" width="7.28515625" style="10" customWidth="1"/>
    <col min="11525" max="11525" width="7.140625" style="10" customWidth="1"/>
    <col min="11526" max="11527" width="6.85546875" style="10" customWidth="1"/>
    <col min="11528" max="11528" width="11.42578125" style="10"/>
    <col min="11529" max="11529" width="19.85546875" style="10" customWidth="1"/>
    <col min="11530" max="11534" width="11.42578125" style="10"/>
    <col min="11535" max="11535" width="12.7109375" style="10" customWidth="1"/>
    <col min="11536" max="11774" width="11.42578125" style="10"/>
    <col min="11775" max="11775" width="8.85546875" style="10" customWidth="1"/>
    <col min="11776" max="11776" width="7" style="10" customWidth="1"/>
    <col min="11777" max="11777" width="41.28515625" style="10" customWidth="1"/>
    <col min="11778" max="11778" width="5.85546875" style="10" customWidth="1"/>
    <col min="11779" max="11779" width="7" style="10" customWidth="1"/>
    <col min="11780" max="11780" width="7.28515625" style="10" customWidth="1"/>
    <col min="11781" max="11781" width="7.140625" style="10" customWidth="1"/>
    <col min="11782" max="11783" width="6.85546875" style="10" customWidth="1"/>
    <col min="11784" max="11784" width="11.42578125" style="10"/>
    <col min="11785" max="11785" width="19.85546875" style="10" customWidth="1"/>
    <col min="11786" max="11790" width="11.42578125" style="10"/>
    <col min="11791" max="11791" width="12.7109375" style="10" customWidth="1"/>
    <col min="11792" max="12030" width="11.42578125" style="10"/>
    <col min="12031" max="12031" width="8.85546875" style="10" customWidth="1"/>
    <col min="12032" max="12032" width="7" style="10" customWidth="1"/>
    <col min="12033" max="12033" width="41.28515625" style="10" customWidth="1"/>
    <col min="12034" max="12034" width="5.85546875" style="10" customWidth="1"/>
    <col min="12035" max="12035" width="7" style="10" customWidth="1"/>
    <col min="12036" max="12036" width="7.28515625" style="10" customWidth="1"/>
    <col min="12037" max="12037" width="7.140625" style="10" customWidth="1"/>
    <col min="12038" max="12039" width="6.85546875" style="10" customWidth="1"/>
    <col min="12040" max="12040" width="11.42578125" style="10"/>
    <col min="12041" max="12041" width="19.85546875" style="10" customWidth="1"/>
    <col min="12042" max="12046" width="11.42578125" style="10"/>
    <col min="12047" max="12047" width="12.7109375" style="10" customWidth="1"/>
    <col min="12048" max="12286" width="11.42578125" style="10"/>
    <col min="12287" max="12287" width="8.85546875" style="10" customWidth="1"/>
    <col min="12288" max="12288" width="7" style="10" customWidth="1"/>
    <col min="12289" max="12289" width="41.28515625" style="10" customWidth="1"/>
    <col min="12290" max="12290" width="5.85546875" style="10" customWidth="1"/>
    <col min="12291" max="12291" width="7" style="10" customWidth="1"/>
    <col min="12292" max="12292" width="7.28515625" style="10" customWidth="1"/>
    <col min="12293" max="12293" width="7.140625" style="10" customWidth="1"/>
    <col min="12294" max="12295" width="6.85546875" style="10" customWidth="1"/>
    <col min="12296" max="12296" width="11.42578125" style="10"/>
    <col min="12297" max="12297" width="19.85546875" style="10" customWidth="1"/>
    <col min="12298" max="12302" width="11.42578125" style="10"/>
    <col min="12303" max="12303" width="12.7109375" style="10" customWidth="1"/>
    <col min="12304" max="12542" width="11.42578125" style="10"/>
    <col min="12543" max="12543" width="8.85546875" style="10" customWidth="1"/>
    <col min="12544" max="12544" width="7" style="10" customWidth="1"/>
    <col min="12545" max="12545" width="41.28515625" style="10" customWidth="1"/>
    <col min="12546" max="12546" width="5.85546875" style="10" customWidth="1"/>
    <col min="12547" max="12547" width="7" style="10" customWidth="1"/>
    <col min="12548" max="12548" width="7.28515625" style="10" customWidth="1"/>
    <col min="12549" max="12549" width="7.140625" style="10" customWidth="1"/>
    <col min="12550" max="12551" width="6.85546875" style="10" customWidth="1"/>
    <col min="12552" max="12552" width="11.42578125" style="10"/>
    <col min="12553" max="12553" width="19.85546875" style="10" customWidth="1"/>
    <col min="12554" max="12558" width="11.42578125" style="10"/>
    <col min="12559" max="12559" width="12.7109375" style="10" customWidth="1"/>
    <col min="12560" max="12798" width="11.42578125" style="10"/>
    <col min="12799" max="12799" width="8.85546875" style="10" customWidth="1"/>
    <col min="12800" max="12800" width="7" style="10" customWidth="1"/>
    <col min="12801" max="12801" width="41.28515625" style="10" customWidth="1"/>
    <col min="12802" max="12802" width="5.85546875" style="10" customWidth="1"/>
    <col min="12803" max="12803" width="7" style="10" customWidth="1"/>
    <col min="12804" max="12804" width="7.28515625" style="10" customWidth="1"/>
    <col min="12805" max="12805" width="7.140625" style="10" customWidth="1"/>
    <col min="12806" max="12807" width="6.85546875" style="10" customWidth="1"/>
    <col min="12808" max="12808" width="11.42578125" style="10"/>
    <col min="12809" max="12809" width="19.85546875" style="10" customWidth="1"/>
    <col min="12810" max="12814" width="11.42578125" style="10"/>
    <col min="12815" max="12815" width="12.7109375" style="10" customWidth="1"/>
    <col min="12816" max="13054" width="11.42578125" style="10"/>
    <col min="13055" max="13055" width="8.85546875" style="10" customWidth="1"/>
    <col min="13056" max="13056" width="7" style="10" customWidth="1"/>
    <col min="13057" max="13057" width="41.28515625" style="10" customWidth="1"/>
    <col min="13058" max="13058" width="5.85546875" style="10" customWidth="1"/>
    <col min="13059" max="13059" width="7" style="10" customWidth="1"/>
    <col min="13060" max="13060" width="7.28515625" style="10" customWidth="1"/>
    <col min="13061" max="13061" width="7.140625" style="10" customWidth="1"/>
    <col min="13062" max="13063" width="6.85546875" style="10" customWidth="1"/>
    <col min="13064" max="13064" width="11.42578125" style="10"/>
    <col min="13065" max="13065" width="19.85546875" style="10" customWidth="1"/>
    <col min="13066" max="13070" width="11.42578125" style="10"/>
    <col min="13071" max="13071" width="12.7109375" style="10" customWidth="1"/>
    <col min="13072" max="13310" width="11.42578125" style="10"/>
    <col min="13311" max="13311" width="8.85546875" style="10" customWidth="1"/>
    <col min="13312" max="13312" width="7" style="10" customWidth="1"/>
    <col min="13313" max="13313" width="41.28515625" style="10" customWidth="1"/>
    <col min="13314" max="13314" width="5.85546875" style="10" customWidth="1"/>
    <col min="13315" max="13315" width="7" style="10" customWidth="1"/>
    <col min="13316" max="13316" width="7.28515625" style="10" customWidth="1"/>
    <col min="13317" max="13317" width="7.140625" style="10" customWidth="1"/>
    <col min="13318" max="13319" width="6.85546875" style="10" customWidth="1"/>
    <col min="13320" max="13320" width="11.42578125" style="10"/>
    <col min="13321" max="13321" width="19.85546875" style="10" customWidth="1"/>
    <col min="13322" max="13326" width="11.42578125" style="10"/>
    <col min="13327" max="13327" width="12.7109375" style="10" customWidth="1"/>
    <col min="13328" max="13566" width="11.42578125" style="10"/>
    <col min="13567" max="13567" width="8.85546875" style="10" customWidth="1"/>
    <col min="13568" max="13568" width="7" style="10" customWidth="1"/>
    <col min="13569" max="13569" width="41.28515625" style="10" customWidth="1"/>
    <col min="13570" max="13570" width="5.85546875" style="10" customWidth="1"/>
    <col min="13571" max="13571" width="7" style="10" customWidth="1"/>
    <col min="13572" max="13572" width="7.28515625" style="10" customWidth="1"/>
    <col min="13573" max="13573" width="7.140625" style="10" customWidth="1"/>
    <col min="13574" max="13575" width="6.85546875" style="10" customWidth="1"/>
    <col min="13576" max="13576" width="11.42578125" style="10"/>
    <col min="13577" max="13577" width="19.85546875" style="10" customWidth="1"/>
    <col min="13578" max="13582" width="11.42578125" style="10"/>
    <col min="13583" max="13583" width="12.7109375" style="10" customWidth="1"/>
    <col min="13584" max="13822" width="11.42578125" style="10"/>
    <col min="13823" max="13823" width="8.85546875" style="10" customWidth="1"/>
    <col min="13824" max="13824" width="7" style="10" customWidth="1"/>
    <col min="13825" max="13825" width="41.28515625" style="10" customWidth="1"/>
    <col min="13826" max="13826" width="5.85546875" style="10" customWidth="1"/>
    <col min="13827" max="13827" width="7" style="10" customWidth="1"/>
    <col min="13828" max="13828" width="7.28515625" style="10" customWidth="1"/>
    <col min="13829" max="13829" width="7.140625" style="10" customWidth="1"/>
    <col min="13830" max="13831" width="6.85546875" style="10" customWidth="1"/>
    <col min="13832" max="13832" width="11.42578125" style="10"/>
    <col min="13833" max="13833" width="19.85546875" style="10" customWidth="1"/>
    <col min="13834" max="13838" width="11.42578125" style="10"/>
    <col min="13839" max="13839" width="12.7109375" style="10" customWidth="1"/>
    <col min="13840" max="14078" width="11.42578125" style="10"/>
    <col min="14079" max="14079" width="8.85546875" style="10" customWidth="1"/>
    <col min="14080" max="14080" width="7" style="10" customWidth="1"/>
    <col min="14081" max="14081" width="41.28515625" style="10" customWidth="1"/>
    <col min="14082" max="14082" width="5.85546875" style="10" customWidth="1"/>
    <col min="14083" max="14083" width="7" style="10" customWidth="1"/>
    <col min="14084" max="14084" width="7.28515625" style="10" customWidth="1"/>
    <col min="14085" max="14085" width="7.140625" style="10" customWidth="1"/>
    <col min="14086" max="14087" width="6.85546875" style="10" customWidth="1"/>
    <col min="14088" max="14088" width="11.42578125" style="10"/>
    <col min="14089" max="14089" width="19.85546875" style="10" customWidth="1"/>
    <col min="14090" max="14094" width="11.42578125" style="10"/>
    <col min="14095" max="14095" width="12.7109375" style="10" customWidth="1"/>
    <col min="14096" max="14334" width="11.42578125" style="10"/>
    <col min="14335" max="14335" width="8.85546875" style="10" customWidth="1"/>
    <col min="14336" max="14336" width="7" style="10" customWidth="1"/>
    <col min="14337" max="14337" width="41.28515625" style="10" customWidth="1"/>
    <col min="14338" max="14338" width="5.85546875" style="10" customWidth="1"/>
    <col min="14339" max="14339" width="7" style="10" customWidth="1"/>
    <col min="14340" max="14340" width="7.28515625" style="10" customWidth="1"/>
    <col min="14341" max="14341" width="7.140625" style="10" customWidth="1"/>
    <col min="14342" max="14343" width="6.85546875" style="10" customWidth="1"/>
    <col min="14344" max="14344" width="11.42578125" style="10"/>
    <col min="14345" max="14345" width="19.85546875" style="10" customWidth="1"/>
    <col min="14346" max="14350" width="11.42578125" style="10"/>
    <col min="14351" max="14351" width="12.7109375" style="10" customWidth="1"/>
    <col min="14352" max="14590" width="11.42578125" style="10"/>
    <col min="14591" max="14591" width="8.85546875" style="10" customWidth="1"/>
    <col min="14592" max="14592" width="7" style="10" customWidth="1"/>
    <col min="14593" max="14593" width="41.28515625" style="10" customWidth="1"/>
    <col min="14594" max="14594" width="5.85546875" style="10" customWidth="1"/>
    <col min="14595" max="14595" width="7" style="10" customWidth="1"/>
    <col min="14596" max="14596" width="7.28515625" style="10" customWidth="1"/>
    <col min="14597" max="14597" width="7.140625" style="10" customWidth="1"/>
    <col min="14598" max="14599" width="6.85546875" style="10" customWidth="1"/>
    <col min="14600" max="14600" width="11.42578125" style="10"/>
    <col min="14601" max="14601" width="19.85546875" style="10" customWidth="1"/>
    <col min="14602" max="14606" width="11.42578125" style="10"/>
    <col min="14607" max="14607" width="12.7109375" style="10" customWidth="1"/>
    <col min="14608" max="14846" width="11.42578125" style="10"/>
    <col min="14847" max="14847" width="8.85546875" style="10" customWidth="1"/>
    <col min="14848" max="14848" width="7" style="10" customWidth="1"/>
    <col min="14849" max="14849" width="41.28515625" style="10" customWidth="1"/>
    <col min="14850" max="14850" width="5.85546875" style="10" customWidth="1"/>
    <col min="14851" max="14851" width="7" style="10" customWidth="1"/>
    <col min="14852" max="14852" width="7.28515625" style="10" customWidth="1"/>
    <col min="14853" max="14853" width="7.140625" style="10" customWidth="1"/>
    <col min="14854" max="14855" width="6.85546875" style="10" customWidth="1"/>
    <col min="14856" max="14856" width="11.42578125" style="10"/>
    <col min="14857" max="14857" width="19.85546875" style="10" customWidth="1"/>
    <col min="14858" max="14862" width="11.42578125" style="10"/>
    <col min="14863" max="14863" width="12.7109375" style="10" customWidth="1"/>
    <col min="14864" max="15102" width="11.42578125" style="10"/>
    <col min="15103" max="15103" width="8.85546875" style="10" customWidth="1"/>
    <col min="15104" max="15104" width="7" style="10" customWidth="1"/>
    <col min="15105" max="15105" width="41.28515625" style="10" customWidth="1"/>
    <col min="15106" max="15106" width="5.85546875" style="10" customWidth="1"/>
    <col min="15107" max="15107" width="7" style="10" customWidth="1"/>
    <col min="15108" max="15108" width="7.28515625" style="10" customWidth="1"/>
    <col min="15109" max="15109" width="7.140625" style="10" customWidth="1"/>
    <col min="15110" max="15111" width="6.85546875" style="10" customWidth="1"/>
    <col min="15112" max="15112" width="11.42578125" style="10"/>
    <col min="15113" max="15113" width="19.85546875" style="10" customWidth="1"/>
    <col min="15114" max="15118" width="11.42578125" style="10"/>
    <col min="15119" max="15119" width="12.7109375" style="10" customWidth="1"/>
    <col min="15120" max="15358" width="11.42578125" style="10"/>
    <col min="15359" max="15359" width="8.85546875" style="10" customWidth="1"/>
    <col min="15360" max="15360" width="7" style="10" customWidth="1"/>
    <col min="15361" max="15361" width="41.28515625" style="10" customWidth="1"/>
    <col min="15362" max="15362" width="5.85546875" style="10" customWidth="1"/>
    <col min="15363" max="15363" width="7" style="10" customWidth="1"/>
    <col min="15364" max="15364" width="7.28515625" style="10" customWidth="1"/>
    <col min="15365" max="15365" width="7.140625" style="10" customWidth="1"/>
    <col min="15366" max="15367" width="6.85546875" style="10" customWidth="1"/>
    <col min="15368" max="15368" width="11.42578125" style="10"/>
    <col min="15369" max="15369" width="19.85546875" style="10" customWidth="1"/>
    <col min="15370" max="15374" width="11.42578125" style="10"/>
    <col min="15375" max="15375" width="12.7109375" style="10" customWidth="1"/>
    <col min="15376" max="15614" width="11.42578125" style="10"/>
    <col min="15615" max="15615" width="8.85546875" style="10" customWidth="1"/>
    <col min="15616" max="15616" width="7" style="10" customWidth="1"/>
    <col min="15617" max="15617" width="41.28515625" style="10" customWidth="1"/>
    <col min="15618" max="15618" width="5.85546875" style="10" customWidth="1"/>
    <col min="15619" max="15619" width="7" style="10" customWidth="1"/>
    <col min="15620" max="15620" width="7.28515625" style="10" customWidth="1"/>
    <col min="15621" max="15621" width="7.140625" style="10" customWidth="1"/>
    <col min="15622" max="15623" width="6.85546875" style="10" customWidth="1"/>
    <col min="15624" max="15624" width="11.42578125" style="10"/>
    <col min="15625" max="15625" width="19.85546875" style="10" customWidth="1"/>
    <col min="15626" max="15630" width="11.42578125" style="10"/>
    <col min="15631" max="15631" width="12.7109375" style="10" customWidth="1"/>
    <col min="15632" max="15870" width="11.42578125" style="10"/>
    <col min="15871" max="15871" width="8.85546875" style="10" customWidth="1"/>
    <col min="15872" max="15872" width="7" style="10" customWidth="1"/>
    <col min="15873" max="15873" width="41.28515625" style="10" customWidth="1"/>
    <col min="15874" max="15874" width="5.85546875" style="10" customWidth="1"/>
    <col min="15875" max="15875" width="7" style="10" customWidth="1"/>
    <col min="15876" max="15876" width="7.28515625" style="10" customWidth="1"/>
    <col min="15877" max="15877" width="7.140625" style="10" customWidth="1"/>
    <col min="15878" max="15879" width="6.85546875" style="10" customWidth="1"/>
    <col min="15880" max="15880" width="11.42578125" style="10"/>
    <col min="15881" max="15881" width="19.85546875" style="10" customWidth="1"/>
    <col min="15882" max="15886" width="11.42578125" style="10"/>
    <col min="15887" max="15887" width="12.7109375" style="10" customWidth="1"/>
    <col min="15888" max="16126" width="11.42578125" style="10"/>
    <col min="16127" max="16127" width="8.85546875" style="10" customWidth="1"/>
    <col min="16128" max="16128" width="7" style="10" customWidth="1"/>
    <col min="16129" max="16129" width="41.28515625" style="10" customWidth="1"/>
    <col min="16130" max="16130" width="5.85546875" style="10" customWidth="1"/>
    <col min="16131" max="16131" width="7" style="10" customWidth="1"/>
    <col min="16132" max="16132" width="7.28515625" style="10" customWidth="1"/>
    <col min="16133" max="16133" width="7.140625" style="10" customWidth="1"/>
    <col min="16134" max="16135" width="6.85546875" style="10" customWidth="1"/>
    <col min="16136" max="16136" width="11.42578125" style="10"/>
    <col min="16137" max="16137" width="19.85546875" style="10" customWidth="1"/>
    <col min="16138" max="16142" width="11.42578125" style="10"/>
    <col min="16143" max="16143" width="12.7109375" style="10" customWidth="1"/>
    <col min="16144" max="16384" width="11.42578125" style="10"/>
  </cols>
  <sheetData>
    <row r="1" spans="1:15" ht="45.75" thickBot="1" x14ac:dyDescent="0.3">
      <c r="A1" s="9"/>
      <c r="C1" s="11"/>
      <c r="D1" s="12"/>
      <c r="E1" s="12"/>
      <c r="I1" s="13" t="s">
        <v>24</v>
      </c>
    </row>
    <row r="2" spans="1:15" ht="36.75" customHeight="1" thickBot="1" x14ac:dyDescent="0.3">
      <c r="A2" s="9"/>
      <c r="C2" s="14" t="s">
        <v>28</v>
      </c>
      <c r="D2" s="68" t="s">
        <v>25</v>
      </c>
      <c r="E2" s="70" t="s">
        <v>26</v>
      </c>
      <c r="F2" s="57" t="s">
        <v>27</v>
      </c>
      <c r="G2" s="57" t="s">
        <v>27</v>
      </c>
      <c r="I2" s="37" t="s">
        <v>43</v>
      </c>
    </row>
    <row r="3" spans="1:15" ht="15.75" thickBot="1" x14ac:dyDescent="0.3">
      <c r="A3" s="19"/>
      <c r="C3" s="23" t="str">
        <f>'FRA Synthèse élève'!I2</f>
        <v>Elève1</v>
      </c>
      <c r="D3" s="69"/>
      <c r="E3" s="69"/>
      <c r="F3" s="58"/>
      <c r="G3" s="58"/>
      <c r="I3" s="31" t="str">
        <f>'Liste élèves'!C9</f>
        <v>Elève1</v>
      </c>
    </row>
    <row r="4" spans="1:15" ht="24" customHeight="1" thickBot="1" x14ac:dyDescent="0.3">
      <c r="A4" s="20"/>
      <c r="B4" s="20"/>
      <c r="C4" s="59" t="s">
        <v>29</v>
      </c>
      <c r="D4" s="25">
        <v>1</v>
      </c>
      <c r="E4" s="33">
        <f>VLOOKUP($I$2,'Saisie résultats'!$C$9:$BT$18,2,0)</f>
        <v>0</v>
      </c>
      <c r="F4" s="71">
        <f>COUNTIF(E4:E34,1)/COUNTIF(E4:E34,"&lt;10")</f>
        <v>0</v>
      </c>
      <c r="G4" s="72">
        <f>COUNTIF(E4:E72,1)/COUNTIF(E4:E72,"&lt;10")</f>
        <v>0</v>
      </c>
      <c r="I4" s="31" t="str">
        <f>'Liste élèves'!C10</f>
        <v>Elève2</v>
      </c>
      <c r="K4" s="42" t="s">
        <v>33</v>
      </c>
      <c r="L4" s="42" t="s">
        <v>34</v>
      </c>
      <c r="M4" s="42" t="s">
        <v>35</v>
      </c>
      <c r="N4" s="42" t="s">
        <v>36</v>
      </c>
      <c r="O4" s="17"/>
    </row>
    <row r="5" spans="1:15" ht="15.75" thickBot="1" x14ac:dyDescent="0.3">
      <c r="A5" s="20"/>
      <c r="B5" s="20"/>
      <c r="C5" s="60"/>
      <c r="D5" s="26">
        <v>2</v>
      </c>
      <c r="E5" s="33">
        <f>VLOOKUP($I$2,'Saisie résultats'!$C$9:$BT$18,3,0)</f>
        <v>0</v>
      </c>
      <c r="F5" s="71"/>
      <c r="G5" s="73"/>
      <c r="I5" s="31" t="str">
        <f>'Liste élèves'!C11</f>
        <v>Elève3</v>
      </c>
      <c r="K5" s="15">
        <f>COUNTIF(E4:E34,1)/COUNTIF(E4:E34,"&lt;10")</f>
        <v>0</v>
      </c>
      <c r="L5" s="15">
        <f>COUNTIF(E35:E50,1)/COUNTIF(E35:E50,"&lt;10")</f>
        <v>0</v>
      </c>
      <c r="M5" s="15">
        <f>COUNTIF(E51:E62,1)/COUNTIF(E51:E62,"&lt;10")</f>
        <v>0</v>
      </c>
      <c r="N5" s="15">
        <f>COUNTIF(E63:E72,1)/COUNTIF(E63:E72,"&lt;10")</f>
        <v>0</v>
      </c>
      <c r="O5" s="18"/>
    </row>
    <row r="6" spans="1:15" ht="15.75" customHeight="1" thickBot="1" x14ac:dyDescent="0.3">
      <c r="A6" s="20"/>
      <c r="B6" s="20"/>
      <c r="C6" s="60"/>
      <c r="D6" s="26">
        <v>3</v>
      </c>
      <c r="E6" s="33">
        <f>VLOOKUP($I$2,'Saisie résultats'!$C$9:$BT$18,4,0)</f>
        <v>0</v>
      </c>
      <c r="F6" s="71"/>
      <c r="G6" s="73"/>
      <c r="I6" s="31" t="str">
        <f>'Liste élèves'!C12</f>
        <v>Elève4</v>
      </c>
    </row>
    <row r="7" spans="1:15" ht="15.75" thickBot="1" x14ac:dyDescent="0.3">
      <c r="A7" s="20"/>
      <c r="B7" s="20"/>
      <c r="C7" s="60"/>
      <c r="D7" s="26">
        <v>4</v>
      </c>
      <c r="E7" s="33">
        <f>VLOOKUP($I$2,'Saisie résultats'!$C$9:$BT$18,5,0)</f>
        <v>0</v>
      </c>
      <c r="F7" s="71"/>
      <c r="G7" s="73"/>
      <c r="I7" s="31" t="str">
        <f>'Liste élèves'!C13</f>
        <v>Elève5</v>
      </c>
    </row>
    <row r="8" spans="1:15" ht="15.75" thickBot="1" x14ac:dyDescent="0.3">
      <c r="A8" s="20"/>
      <c r="B8" s="20"/>
      <c r="C8" s="60"/>
      <c r="D8" s="26">
        <v>5</v>
      </c>
      <c r="E8" s="33">
        <f>VLOOKUP($I$2,'Saisie résultats'!$C$9:$BT$18,6,0)</f>
        <v>0</v>
      </c>
      <c r="F8" s="71"/>
      <c r="G8" s="73"/>
      <c r="I8" s="31" t="str">
        <f>'Liste élèves'!C14</f>
        <v>Elève6</v>
      </c>
    </row>
    <row r="9" spans="1:15" ht="15.75" customHeight="1" thickBot="1" x14ac:dyDescent="0.3">
      <c r="A9" s="20"/>
      <c r="B9" s="20"/>
      <c r="C9" s="60"/>
      <c r="D9" s="26">
        <v>6</v>
      </c>
      <c r="E9" s="33">
        <f>VLOOKUP($I$2,'Saisie résultats'!$C$9:$BT$18,7,0)</f>
        <v>0</v>
      </c>
      <c r="F9" s="71"/>
      <c r="G9" s="73"/>
      <c r="I9" s="31" t="str">
        <f>'Liste élèves'!C15</f>
        <v>Elève7</v>
      </c>
    </row>
    <row r="10" spans="1:15" ht="15.75" customHeight="1" thickBot="1" x14ac:dyDescent="0.3">
      <c r="A10" s="20"/>
      <c r="B10" s="20"/>
      <c r="C10" s="60"/>
      <c r="D10" s="26">
        <v>7</v>
      </c>
      <c r="E10" s="33">
        <f>VLOOKUP($I$2,'Saisie résultats'!$C$9:$BT$18,8,0)</f>
        <v>0</v>
      </c>
      <c r="F10" s="71"/>
      <c r="G10" s="73"/>
      <c r="I10" s="31" t="str">
        <f>'Liste élèves'!C16</f>
        <v>Elève8</v>
      </c>
    </row>
    <row r="11" spans="1:15" ht="15.75" customHeight="1" thickBot="1" x14ac:dyDescent="0.3">
      <c r="A11" s="20"/>
      <c r="B11" s="20"/>
      <c r="C11" s="60"/>
      <c r="D11" s="26">
        <v>8</v>
      </c>
      <c r="E11" s="33">
        <f>VLOOKUP($I$2,'Saisie résultats'!$C$9:$BT$18,9,0)</f>
        <v>0</v>
      </c>
      <c r="F11" s="71"/>
      <c r="G11" s="73"/>
      <c r="I11" s="31" t="str">
        <f>'Liste élèves'!C17</f>
        <v>Elève9</v>
      </c>
    </row>
    <row r="12" spans="1:15" ht="15.75" customHeight="1" thickBot="1" x14ac:dyDescent="0.3">
      <c r="A12" s="20"/>
      <c r="B12" s="20"/>
      <c r="C12" s="60"/>
      <c r="D12" s="26">
        <v>9</v>
      </c>
      <c r="E12" s="33">
        <f>VLOOKUP($I$2,'Saisie résultats'!$C$9:$BT$18,10,0)</f>
        <v>0</v>
      </c>
      <c r="F12" s="71"/>
      <c r="G12" s="73"/>
      <c r="I12" s="31" t="str">
        <f>'Liste élèves'!C18</f>
        <v>Elève10</v>
      </c>
    </row>
    <row r="13" spans="1:15" ht="15.75" customHeight="1" thickBot="1" x14ac:dyDescent="0.3">
      <c r="A13" s="20"/>
      <c r="B13" s="20"/>
      <c r="C13" s="60"/>
      <c r="D13" s="26">
        <v>10</v>
      </c>
      <c r="E13" s="33">
        <f>VLOOKUP($I$2,'Saisie résultats'!$C$9:$BT$18,11,0)</f>
        <v>0</v>
      </c>
      <c r="F13" s="71"/>
      <c r="G13" s="73"/>
      <c r="I13" s="31"/>
    </row>
    <row r="14" spans="1:15" ht="15.75" customHeight="1" thickBot="1" x14ac:dyDescent="0.3">
      <c r="A14" s="20"/>
      <c r="B14" s="20"/>
      <c r="C14" s="60"/>
      <c r="D14" s="26">
        <v>11</v>
      </c>
      <c r="E14" s="33">
        <f>VLOOKUP($I$2,'Saisie résultats'!$C$9:$BT$18,12,0)</f>
        <v>0</v>
      </c>
      <c r="F14" s="71"/>
      <c r="G14" s="73"/>
      <c r="I14" s="31"/>
    </row>
    <row r="15" spans="1:15" ht="15.75" customHeight="1" thickBot="1" x14ac:dyDescent="0.3">
      <c r="A15" s="20"/>
      <c r="B15" s="20"/>
      <c r="C15" s="60"/>
      <c r="D15" s="26">
        <v>12</v>
      </c>
      <c r="E15" s="33">
        <f>VLOOKUP($I$2,'Saisie résultats'!$C$9:$BT$18,13,0)</f>
        <v>0</v>
      </c>
      <c r="F15" s="71"/>
      <c r="G15" s="73"/>
      <c r="I15" s="31"/>
    </row>
    <row r="16" spans="1:15" ht="15.75" customHeight="1" thickBot="1" x14ac:dyDescent="0.3">
      <c r="A16" s="20"/>
      <c r="B16" s="20"/>
      <c r="C16" s="60"/>
      <c r="D16" s="26">
        <v>13</v>
      </c>
      <c r="E16" s="33">
        <f>VLOOKUP($I$2,'Saisie résultats'!$C$9:$BT$18,14,0)</f>
        <v>0</v>
      </c>
      <c r="F16" s="71"/>
      <c r="G16" s="73"/>
      <c r="I16" s="31"/>
    </row>
    <row r="17" spans="1:9" ht="15.75" customHeight="1" thickBot="1" x14ac:dyDescent="0.3">
      <c r="A17" s="20"/>
      <c r="B17" s="20"/>
      <c r="C17" s="60"/>
      <c r="D17" s="26">
        <v>30</v>
      </c>
      <c r="E17" s="33">
        <f>VLOOKUP($I$2,'Saisie résultats'!$C$9:$BT$18,31,0)</f>
        <v>0</v>
      </c>
      <c r="F17" s="71"/>
      <c r="G17" s="73"/>
      <c r="I17" s="31"/>
    </row>
    <row r="18" spans="1:9" ht="15.75" customHeight="1" thickBot="1" x14ac:dyDescent="0.3">
      <c r="A18" s="20"/>
      <c r="B18" s="20"/>
      <c r="C18" s="60"/>
      <c r="D18" s="26">
        <v>31</v>
      </c>
      <c r="E18" s="33">
        <f>VLOOKUP($I$2,'Saisie résultats'!$C$9:$BT$18,32,0)</f>
        <v>0</v>
      </c>
      <c r="F18" s="71"/>
      <c r="G18" s="73"/>
      <c r="I18" s="31"/>
    </row>
    <row r="19" spans="1:9" ht="15.75" customHeight="1" thickBot="1" x14ac:dyDescent="0.3">
      <c r="A19" s="20"/>
      <c r="B19" s="20"/>
      <c r="C19" s="60"/>
      <c r="D19" s="26">
        <v>32</v>
      </c>
      <c r="E19" s="33">
        <f>VLOOKUP($I$2,'Saisie résultats'!$C$9:$BT$18,33,0)</f>
        <v>0</v>
      </c>
      <c r="F19" s="71"/>
      <c r="G19" s="73"/>
      <c r="I19" s="31"/>
    </row>
    <row r="20" spans="1:9" ht="15.75" customHeight="1" thickBot="1" x14ac:dyDescent="0.3">
      <c r="A20" s="20"/>
      <c r="B20" s="20"/>
      <c r="C20" s="60"/>
      <c r="D20" s="26">
        <v>33</v>
      </c>
      <c r="E20" s="33">
        <f>VLOOKUP($I$2,'Saisie résultats'!$C$9:$BT$18,34,0)</f>
        <v>0</v>
      </c>
      <c r="F20" s="71"/>
      <c r="G20" s="73"/>
      <c r="I20" s="31"/>
    </row>
    <row r="21" spans="1:9" ht="15.75" customHeight="1" thickBot="1" x14ac:dyDescent="0.3">
      <c r="A21" s="20"/>
      <c r="B21" s="20"/>
      <c r="C21" s="60"/>
      <c r="D21" s="26">
        <v>34</v>
      </c>
      <c r="E21" s="33">
        <f>VLOOKUP($I$2,'Saisie résultats'!$C$9:$BT$18,35,0)</f>
        <v>0</v>
      </c>
      <c r="F21" s="71"/>
      <c r="G21" s="73"/>
      <c r="I21" s="31"/>
    </row>
    <row r="22" spans="1:9" ht="15.75" customHeight="1" thickBot="1" x14ac:dyDescent="0.3">
      <c r="A22" s="20"/>
      <c r="B22" s="20"/>
      <c r="C22" s="60"/>
      <c r="D22" s="26">
        <v>35</v>
      </c>
      <c r="E22" s="33">
        <f>VLOOKUP($I$2,'Saisie résultats'!$C$9:$BT$18,36,0)</f>
        <v>0</v>
      </c>
      <c r="F22" s="71"/>
      <c r="G22" s="73"/>
      <c r="I22" s="31"/>
    </row>
    <row r="23" spans="1:9" ht="15.75" customHeight="1" thickBot="1" x14ac:dyDescent="0.3">
      <c r="A23" s="20"/>
      <c r="B23" s="20"/>
      <c r="C23" s="60"/>
      <c r="D23" s="26">
        <v>36</v>
      </c>
      <c r="E23" s="33">
        <f>VLOOKUP($I$2,'Saisie résultats'!$C$9:$BT$18,37,0)</f>
        <v>0</v>
      </c>
      <c r="F23" s="71"/>
      <c r="G23" s="73"/>
      <c r="I23" s="31"/>
    </row>
    <row r="24" spans="1:9" ht="15.75" thickBot="1" x14ac:dyDescent="0.3">
      <c r="A24" s="20"/>
      <c r="B24" s="20"/>
      <c r="C24" s="60"/>
      <c r="D24" s="26">
        <v>37</v>
      </c>
      <c r="E24" s="33">
        <f>VLOOKUP($I$2,'Saisie résultats'!$C$9:$BT$18,38,0)</f>
        <v>0</v>
      </c>
      <c r="F24" s="71"/>
      <c r="G24" s="73"/>
      <c r="I24" s="31"/>
    </row>
    <row r="25" spans="1:9" ht="15.75" thickBot="1" x14ac:dyDescent="0.3">
      <c r="A25" s="20"/>
      <c r="B25" s="20"/>
      <c r="C25" s="60"/>
      <c r="D25" s="26">
        <v>38</v>
      </c>
      <c r="E25" s="33">
        <f>VLOOKUP($I$2,'Saisie résultats'!$C$9:$BT$18,39,0)</f>
        <v>0</v>
      </c>
      <c r="F25" s="71"/>
      <c r="G25" s="73"/>
      <c r="I25" s="31"/>
    </row>
    <row r="26" spans="1:9" ht="15.75" thickBot="1" x14ac:dyDescent="0.3">
      <c r="A26" s="20"/>
      <c r="B26" s="20"/>
      <c r="C26" s="60"/>
      <c r="D26" s="26">
        <v>61</v>
      </c>
      <c r="E26" s="33">
        <f>VLOOKUP($I$2,'Saisie résultats'!$C$9:$BT$18,62,0)</f>
        <v>0</v>
      </c>
      <c r="F26" s="71"/>
      <c r="G26" s="73"/>
      <c r="I26" s="31"/>
    </row>
    <row r="27" spans="1:9" ht="15.75" thickBot="1" x14ac:dyDescent="0.3">
      <c r="A27" s="20"/>
      <c r="B27" s="20"/>
      <c r="C27" s="60"/>
      <c r="D27" s="26">
        <v>62</v>
      </c>
      <c r="E27" s="33">
        <f>VLOOKUP($I$2,'Saisie résultats'!$C$9:$BT$18,63,0)</f>
        <v>0</v>
      </c>
      <c r="F27" s="71"/>
      <c r="G27" s="73"/>
      <c r="I27" s="31"/>
    </row>
    <row r="28" spans="1:9" ht="15.75" thickBot="1" x14ac:dyDescent="0.3">
      <c r="A28" s="20"/>
      <c r="B28" s="20"/>
      <c r="C28" s="60"/>
      <c r="D28" s="26">
        <v>63</v>
      </c>
      <c r="E28" s="33">
        <f>VLOOKUP($I$2,'Saisie résultats'!$C$9:$BT$18,64,0)</f>
        <v>0</v>
      </c>
      <c r="F28" s="71"/>
      <c r="G28" s="73"/>
      <c r="I28" s="31"/>
    </row>
    <row r="29" spans="1:9" ht="15.75" thickBot="1" x14ac:dyDescent="0.3">
      <c r="A29" s="20"/>
      <c r="B29" s="20"/>
      <c r="C29" s="60"/>
      <c r="D29" s="26">
        <v>64</v>
      </c>
      <c r="E29" s="33">
        <f>VLOOKUP($I$2,'Saisie résultats'!$C$9:$BT$18,65,0)</f>
        <v>0</v>
      </c>
      <c r="F29" s="71"/>
      <c r="G29" s="73"/>
      <c r="I29" s="31"/>
    </row>
    <row r="30" spans="1:9" ht="15.75" thickBot="1" x14ac:dyDescent="0.3">
      <c r="A30" s="20"/>
      <c r="B30" s="20"/>
      <c r="C30" s="60"/>
      <c r="D30" s="26">
        <v>65</v>
      </c>
      <c r="E30" s="33">
        <f>VLOOKUP($I$2,'Saisie résultats'!$C$9:$BT$18,66,0)</f>
        <v>0</v>
      </c>
      <c r="F30" s="71"/>
      <c r="G30" s="73"/>
      <c r="I30" s="31"/>
    </row>
    <row r="31" spans="1:9" ht="15.75" customHeight="1" thickBot="1" x14ac:dyDescent="0.3">
      <c r="A31" s="20"/>
      <c r="B31" s="20"/>
      <c r="C31" s="60"/>
      <c r="D31" s="26">
        <v>66</v>
      </c>
      <c r="E31" s="33">
        <f>VLOOKUP($I$2,'Saisie résultats'!$C$9:$BT$18,67,0)</f>
        <v>0</v>
      </c>
      <c r="F31" s="71"/>
      <c r="G31" s="73"/>
      <c r="I31" s="31"/>
    </row>
    <row r="32" spans="1:9" ht="15.75" thickBot="1" x14ac:dyDescent="0.3">
      <c r="A32" s="20"/>
      <c r="B32" s="20"/>
      <c r="C32" s="60"/>
      <c r="D32" s="27">
        <v>67</v>
      </c>
      <c r="E32" s="33">
        <f>VLOOKUP($I$2,'Saisie résultats'!$C$9:$BT$18,68,0)</f>
        <v>0</v>
      </c>
      <c r="F32" s="71"/>
      <c r="G32" s="73"/>
      <c r="I32" s="31"/>
    </row>
    <row r="33" spans="1:9" ht="15.75" thickBot="1" x14ac:dyDescent="0.3">
      <c r="A33" s="20"/>
      <c r="B33" s="20"/>
      <c r="C33" s="60"/>
      <c r="D33" s="26">
        <v>68</v>
      </c>
      <c r="E33" s="33">
        <f>VLOOKUP($I$2,'Saisie résultats'!$C$9:$BT$18,69,0)</f>
        <v>0</v>
      </c>
      <c r="F33" s="71"/>
      <c r="G33" s="73"/>
      <c r="I33" s="31"/>
    </row>
    <row r="34" spans="1:9" ht="15.75" thickBot="1" x14ac:dyDescent="0.3">
      <c r="A34" s="20"/>
      <c r="B34" s="20"/>
      <c r="C34" s="61"/>
      <c r="D34" s="28">
        <v>69</v>
      </c>
      <c r="E34" s="33">
        <f>VLOOKUP($I$2,'Saisie résultats'!$C$9:$BT$18,70,0)</f>
        <v>0</v>
      </c>
      <c r="F34" s="71"/>
      <c r="G34" s="73"/>
      <c r="I34" s="31"/>
    </row>
    <row r="35" spans="1:9" ht="15.75" customHeight="1" thickBot="1" x14ac:dyDescent="0.3">
      <c r="A35" s="21"/>
      <c r="B35" s="21"/>
      <c r="C35" s="62" t="s">
        <v>30</v>
      </c>
      <c r="D35" s="25">
        <v>14</v>
      </c>
      <c r="E35" s="33">
        <f>VLOOKUP($I$2,'Saisie résultats'!$C$9:$BT$18,15,0)</f>
        <v>0</v>
      </c>
      <c r="F35" s="71">
        <f>COUNTIF(E35:E50,1)/COUNTIF(E35:E50,"&lt;10")</f>
        <v>0</v>
      </c>
      <c r="G35" s="73"/>
      <c r="I35" s="31"/>
    </row>
    <row r="36" spans="1:9" ht="15.75" thickBot="1" x14ac:dyDescent="0.3">
      <c r="A36" s="21"/>
      <c r="B36" s="21"/>
      <c r="C36" s="63"/>
      <c r="D36" s="26">
        <v>15</v>
      </c>
      <c r="E36" s="33">
        <f>VLOOKUP($I$2,'Saisie résultats'!$C$9:$BT$18,16,0)</f>
        <v>0</v>
      </c>
      <c r="F36" s="71"/>
      <c r="G36" s="73"/>
      <c r="I36" s="31"/>
    </row>
    <row r="37" spans="1:9" ht="15.75" customHeight="1" thickBot="1" x14ac:dyDescent="0.3">
      <c r="A37" s="21"/>
      <c r="B37" s="21"/>
      <c r="C37" s="63"/>
      <c r="D37" s="26">
        <v>16</v>
      </c>
      <c r="E37" s="33">
        <f>VLOOKUP($I$2,'Saisie résultats'!$C$9:$BT$18,17,0)</f>
        <v>0</v>
      </c>
      <c r="F37" s="71"/>
      <c r="G37" s="73"/>
      <c r="I37" s="31"/>
    </row>
    <row r="38" spans="1:9" ht="15.75" thickBot="1" x14ac:dyDescent="0.3">
      <c r="A38" s="21"/>
      <c r="B38" s="21"/>
      <c r="C38" s="63"/>
      <c r="D38" s="26">
        <v>17</v>
      </c>
      <c r="E38" s="33">
        <f>VLOOKUP($I$2,'Saisie résultats'!$C$9:$BT$18,18,0)</f>
        <v>0</v>
      </c>
      <c r="F38" s="71"/>
      <c r="G38" s="73"/>
      <c r="I38" s="31"/>
    </row>
    <row r="39" spans="1:9" ht="15.75" thickBot="1" x14ac:dyDescent="0.3">
      <c r="A39" s="21"/>
      <c r="B39" s="21"/>
      <c r="C39" s="63"/>
      <c r="D39" s="26">
        <v>18</v>
      </c>
      <c r="E39" s="33">
        <f>VLOOKUP($I$2,'Saisie résultats'!$C$9:$BT$18,19,0)</f>
        <v>0</v>
      </c>
      <c r="F39" s="71"/>
      <c r="G39" s="73"/>
      <c r="I39" s="31"/>
    </row>
    <row r="40" spans="1:9" ht="15.75" thickBot="1" x14ac:dyDescent="0.3">
      <c r="A40" s="21"/>
      <c r="B40" s="21"/>
      <c r="C40" s="63"/>
      <c r="D40" s="26">
        <v>19</v>
      </c>
      <c r="E40" s="33">
        <f>VLOOKUP($I$2,'Saisie résultats'!$C$9:$BT$18,20,0)</f>
        <v>0</v>
      </c>
      <c r="F40" s="71"/>
      <c r="G40" s="73"/>
      <c r="I40" s="31"/>
    </row>
    <row r="41" spans="1:9" ht="15.75" thickBot="1" x14ac:dyDescent="0.3">
      <c r="A41" s="21"/>
      <c r="B41" s="21"/>
      <c r="C41" s="63"/>
      <c r="D41" s="26">
        <v>20</v>
      </c>
      <c r="E41" s="33">
        <f>VLOOKUP($I$2,'Saisie résultats'!$C$9:$BT$18,21,0)</f>
        <v>0</v>
      </c>
      <c r="F41" s="71"/>
      <c r="G41" s="73"/>
      <c r="I41" s="31"/>
    </row>
    <row r="42" spans="1:9" ht="15.75" thickBot="1" x14ac:dyDescent="0.3">
      <c r="A42" s="21"/>
      <c r="B42" s="21"/>
      <c r="C42" s="63"/>
      <c r="D42" s="26">
        <v>21</v>
      </c>
      <c r="E42" s="33">
        <f>VLOOKUP($I$2,'Saisie résultats'!$C$9:$BT$18,22,0)</f>
        <v>0</v>
      </c>
      <c r="F42" s="71"/>
      <c r="G42" s="73"/>
      <c r="I42" s="31"/>
    </row>
    <row r="43" spans="1:9" ht="15.75" thickBot="1" x14ac:dyDescent="0.3">
      <c r="A43" s="21"/>
      <c r="B43" s="21"/>
      <c r="C43" s="63"/>
      <c r="D43" s="26">
        <v>22</v>
      </c>
      <c r="E43" s="33">
        <f>VLOOKUP($I$2,'Saisie résultats'!$C$9:$BT$18,23,0)</f>
        <v>0</v>
      </c>
      <c r="F43" s="71"/>
      <c r="G43" s="73"/>
      <c r="I43" s="31"/>
    </row>
    <row r="44" spans="1:9" ht="15.75" thickBot="1" x14ac:dyDescent="0.3">
      <c r="A44" s="21"/>
      <c r="B44" s="21"/>
      <c r="C44" s="63"/>
      <c r="D44" s="26">
        <v>23</v>
      </c>
      <c r="E44" s="33">
        <f>VLOOKUP($I$2,'Saisie résultats'!$C$9:$BT$18,24,0)</f>
        <v>0</v>
      </c>
      <c r="F44" s="71"/>
      <c r="G44" s="73"/>
      <c r="I44" s="31"/>
    </row>
    <row r="45" spans="1:9" ht="15.75" thickBot="1" x14ac:dyDescent="0.3">
      <c r="A45" s="21"/>
      <c r="B45" s="21"/>
      <c r="C45" s="63"/>
      <c r="D45" s="26">
        <v>24</v>
      </c>
      <c r="E45" s="33">
        <f>VLOOKUP($I$2,'Saisie résultats'!$C$9:$BT$18,25,0)</f>
        <v>0</v>
      </c>
      <c r="F45" s="71"/>
      <c r="G45" s="73"/>
      <c r="I45" s="31"/>
    </row>
    <row r="46" spans="1:9" ht="15.75" thickBot="1" x14ac:dyDescent="0.3">
      <c r="A46" s="21"/>
      <c r="B46" s="21"/>
      <c r="C46" s="63"/>
      <c r="D46" s="26">
        <v>25</v>
      </c>
      <c r="E46" s="33">
        <f>VLOOKUP($I$2,'Saisie résultats'!$C$9:$BT$18,26,0)</f>
        <v>0</v>
      </c>
      <c r="F46" s="71"/>
      <c r="G46" s="73"/>
      <c r="I46" s="31"/>
    </row>
    <row r="47" spans="1:9" ht="15.75" thickBot="1" x14ac:dyDescent="0.3">
      <c r="A47" s="21"/>
      <c r="B47" s="21"/>
      <c r="C47" s="63"/>
      <c r="D47" s="26">
        <v>26</v>
      </c>
      <c r="E47" s="33">
        <f>VLOOKUP($I$2,'Saisie résultats'!$C$9:$BT$18,27,0)</f>
        <v>0</v>
      </c>
      <c r="F47" s="71"/>
      <c r="G47" s="73"/>
      <c r="I47" s="31"/>
    </row>
    <row r="48" spans="1:9" ht="15.75" thickBot="1" x14ac:dyDescent="0.3">
      <c r="A48" s="21"/>
      <c r="B48" s="21"/>
      <c r="C48" s="63"/>
      <c r="D48" s="26">
        <v>27</v>
      </c>
      <c r="E48" s="33">
        <f>VLOOKUP($I$2,'Saisie résultats'!$C$9:$BT$18,28,0)</f>
        <v>0</v>
      </c>
      <c r="F48" s="71"/>
      <c r="G48" s="73"/>
      <c r="I48" s="31"/>
    </row>
    <row r="49" spans="1:9" ht="15.75" thickBot="1" x14ac:dyDescent="0.3">
      <c r="A49" s="21"/>
      <c r="B49" s="21"/>
      <c r="C49" s="63"/>
      <c r="D49" s="26">
        <v>28</v>
      </c>
      <c r="E49" s="33">
        <f>VLOOKUP($I$2,'Saisie résultats'!$C$9:$BT$18,29,0)</f>
        <v>0</v>
      </c>
      <c r="F49" s="71"/>
      <c r="G49" s="73"/>
      <c r="I49" s="31"/>
    </row>
    <row r="50" spans="1:9" ht="15.75" thickBot="1" x14ac:dyDescent="0.3">
      <c r="A50" s="21"/>
      <c r="B50" s="21"/>
      <c r="C50" s="64"/>
      <c r="D50" s="28">
        <v>29</v>
      </c>
      <c r="E50" s="33">
        <f>VLOOKUP($I$2,'Saisie résultats'!$C$9:$BT$18,30,0)</f>
        <v>0</v>
      </c>
      <c r="F50" s="71"/>
      <c r="G50" s="73"/>
      <c r="I50" s="31"/>
    </row>
    <row r="51" spans="1:9" ht="15.75" customHeight="1" thickBot="1" x14ac:dyDescent="0.3">
      <c r="A51" s="22"/>
      <c r="B51" s="22"/>
      <c r="C51" s="62" t="s">
        <v>31</v>
      </c>
      <c r="D51" s="25">
        <v>39</v>
      </c>
      <c r="E51" s="33">
        <f>VLOOKUP($I$2,'Saisie résultats'!$C$9:$BT$18,40,0)</f>
        <v>0</v>
      </c>
      <c r="F51" s="71">
        <f>COUNTIF(E51:E62,1)/COUNTIF(E51:E62,"&lt;10")</f>
        <v>0</v>
      </c>
      <c r="G51" s="73"/>
      <c r="I51" s="31"/>
    </row>
    <row r="52" spans="1:9" ht="15.75" thickBot="1" x14ac:dyDescent="0.3">
      <c r="A52" s="22"/>
      <c r="B52" s="22"/>
      <c r="C52" s="63"/>
      <c r="D52" s="26">
        <v>40</v>
      </c>
      <c r="E52" s="33">
        <f>VLOOKUP($I$2,'Saisie résultats'!$C$9:$BT$18,41,0)</f>
        <v>0</v>
      </c>
      <c r="F52" s="71"/>
      <c r="G52" s="73"/>
      <c r="I52" s="31"/>
    </row>
    <row r="53" spans="1:9" ht="15.75" customHeight="1" thickBot="1" x14ac:dyDescent="0.3">
      <c r="A53" s="22"/>
      <c r="B53" s="22"/>
      <c r="C53" s="63"/>
      <c r="D53" s="26">
        <v>41</v>
      </c>
      <c r="E53" s="33">
        <f>VLOOKUP($I$2,'Saisie résultats'!$C$9:$BT$18,42,0)</f>
        <v>0</v>
      </c>
      <c r="F53" s="71"/>
      <c r="G53" s="73"/>
      <c r="I53" s="31"/>
    </row>
    <row r="54" spans="1:9" ht="15.75" thickBot="1" x14ac:dyDescent="0.3">
      <c r="A54" s="22"/>
      <c r="B54" s="22"/>
      <c r="C54" s="63"/>
      <c r="D54" s="26">
        <v>42</v>
      </c>
      <c r="E54" s="33">
        <f>VLOOKUP($I$2,'Saisie résultats'!$C$9:$BT$18,43,0)</f>
        <v>0</v>
      </c>
      <c r="F54" s="71"/>
      <c r="G54" s="73"/>
      <c r="I54" s="31"/>
    </row>
    <row r="55" spans="1:9" ht="15.75" thickBot="1" x14ac:dyDescent="0.3">
      <c r="A55" s="22"/>
      <c r="B55" s="22"/>
      <c r="C55" s="63"/>
      <c r="D55" s="26">
        <v>43</v>
      </c>
      <c r="E55" s="33">
        <f>VLOOKUP($I$2,'Saisie résultats'!$C$9:$BT$18,44,0)</f>
        <v>0</v>
      </c>
      <c r="F55" s="71"/>
      <c r="G55" s="73"/>
      <c r="I55" s="31"/>
    </row>
    <row r="56" spans="1:9" ht="15.75" thickBot="1" x14ac:dyDescent="0.3">
      <c r="A56" s="22"/>
      <c r="B56" s="22"/>
      <c r="C56" s="63"/>
      <c r="D56" s="26">
        <v>44</v>
      </c>
      <c r="E56" s="33">
        <f>VLOOKUP($I$2,'Saisie résultats'!$C$9:$BT$18,45,0)</f>
        <v>0</v>
      </c>
      <c r="F56" s="71"/>
      <c r="G56" s="73"/>
      <c r="I56" s="31"/>
    </row>
    <row r="57" spans="1:9" ht="15.75" customHeight="1" thickBot="1" x14ac:dyDescent="0.3">
      <c r="A57" s="22"/>
      <c r="B57" s="22"/>
      <c r="C57" s="63"/>
      <c r="D57" s="26">
        <v>45</v>
      </c>
      <c r="E57" s="33">
        <f>VLOOKUP($I$2,'Saisie résultats'!$C$9:$BT$18,46,0)</f>
        <v>0</v>
      </c>
      <c r="F57" s="71"/>
      <c r="G57" s="73"/>
      <c r="I57" s="31"/>
    </row>
    <row r="58" spans="1:9" ht="18.75" customHeight="1" thickBot="1" x14ac:dyDescent="0.3">
      <c r="A58" s="22"/>
      <c r="B58" s="22"/>
      <c r="C58" s="63"/>
      <c r="D58" s="26">
        <v>46</v>
      </c>
      <c r="E58" s="33">
        <f>VLOOKUP($I$2,'Saisie résultats'!$C$9:$BT$18,47,0)</f>
        <v>0</v>
      </c>
      <c r="F58" s="71"/>
      <c r="G58" s="73"/>
      <c r="I58" s="31"/>
    </row>
    <row r="59" spans="1:9" ht="15.75" thickBot="1" x14ac:dyDescent="0.3">
      <c r="A59" s="22"/>
      <c r="B59" s="22"/>
      <c r="C59" s="63"/>
      <c r="D59" s="26">
        <v>47</v>
      </c>
      <c r="E59" s="33">
        <f>VLOOKUP($I$2,'Saisie résultats'!$C$9:$BT$18,48,0)</f>
        <v>0</v>
      </c>
      <c r="F59" s="71"/>
      <c r="G59" s="73"/>
      <c r="I59" s="31"/>
    </row>
    <row r="60" spans="1:9" ht="15.75" thickBot="1" x14ac:dyDescent="0.3">
      <c r="A60" s="22"/>
      <c r="B60" s="22"/>
      <c r="C60" s="63"/>
      <c r="D60" s="26">
        <v>48</v>
      </c>
      <c r="E60" s="33">
        <f>VLOOKUP($I$2,'Saisie résultats'!$C$9:$BT$18,49,0)</f>
        <v>0</v>
      </c>
      <c r="F60" s="71"/>
      <c r="G60" s="73"/>
      <c r="I60" s="31"/>
    </row>
    <row r="61" spans="1:9" ht="15.75" thickBot="1" x14ac:dyDescent="0.3">
      <c r="A61" s="22"/>
      <c r="B61" s="22"/>
      <c r="C61" s="63"/>
      <c r="D61" s="26">
        <v>49</v>
      </c>
      <c r="E61" s="33">
        <f>VLOOKUP($I$2,'Saisie résultats'!$C$9:$BT$18,50,0)</f>
        <v>0</v>
      </c>
      <c r="F61" s="71"/>
      <c r="G61" s="73"/>
      <c r="I61" s="31"/>
    </row>
    <row r="62" spans="1:9" ht="15.75" thickBot="1" x14ac:dyDescent="0.3">
      <c r="A62" s="22"/>
      <c r="B62" s="22"/>
      <c r="C62" s="64"/>
      <c r="D62" s="28">
        <v>50</v>
      </c>
      <c r="E62" s="33">
        <f>VLOOKUP($I$2,'Saisie résultats'!$C$9:$BT$18,51,0)</f>
        <v>0</v>
      </c>
      <c r="F62" s="71"/>
      <c r="G62" s="73"/>
      <c r="I62" s="31"/>
    </row>
    <row r="63" spans="1:9" ht="15.75" thickBot="1" x14ac:dyDescent="0.3">
      <c r="A63" s="22"/>
      <c r="B63" s="22"/>
      <c r="C63" s="62" t="s">
        <v>32</v>
      </c>
      <c r="D63" s="25">
        <v>51</v>
      </c>
      <c r="E63" s="33">
        <f>VLOOKUP($I$2,'Saisie résultats'!$C$9:$BT$18,52,0)</f>
        <v>0</v>
      </c>
      <c r="F63" s="65">
        <f>COUNTIF(E63:E72,1)/COUNTIF(E63:E72,"&lt;10")</f>
        <v>0</v>
      </c>
      <c r="G63" s="73"/>
      <c r="I63" s="31"/>
    </row>
    <row r="64" spans="1:9" ht="15.75" thickBot="1" x14ac:dyDescent="0.3">
      <c r="A64" s="22"/>
      <c r="B64" s="22"/>
      <c r="C64" s="63"/>
      <c r="D64" s="26">
        <v>52</v>
      </c>
      <c r="E64" s="33">
        <f>VLOOKUP($I$2,'Saisie résultats'!$C$9:$BT$18,53,0)</f>
        <v>0</v>
      </c>
      <c r="F64" s="66"/>
      <c r="G64" s="73"/>
      <c r="I64" s="31"/>
    </row>
    <row r="65" spans="1:9" ht="15.75" thickBot="1" x14ac:dyDescent="0.3">
      <c r="A65" s="22"/>
      <c r="B65" s="22"/>
      <c r="C65" s="63"/>
      <c r="D65" s="26">
        <v>53</v>
      </c>
      <c r="E65" s="33">
        <f>VLOOKUP($I$2,'Saisie résultats'!$C$9:$BT$18,54,0)</f>
        <v>0</v>
      </c>
      <c r="F65" s="66"/>
      <c r="G65" s="73"/>
      <c r="I65" s="31"/>
    </row>
    <row r="66" spans="1:9" ht="15.75" thickBot="1" x14ac:dyDescent="0.3">
      <c r="A66" s="22"/>
      <c r="B66" s="22"/>
      <c r="C66" s="63"/>
      <c r="D66" s="26">
        <v>54</v>
      </c>
      <c r="E66" s="33">
        <f>VLOOKUP($I$2,'Saisie résultats'!$C$9:$BT$18,55,0)</f>
        <v>0</v>
      </c>
      <c r="F66" s="66"/>
      <c r="G66" s="73"/>
      <c r="I66" s="31"/>
    </row>
    <row r="67" spans="1:9" ht="15.75" thickBot="1" x14ac:dyDescent="0.3">
      <c r="A67" s="22"/>
      <c r="B67" s="22"/>
      <c r="C67" s="63"/>
      <c r="D67" s="26">
        <v>55</v>
      </c>
      <c r="E67" s="33">
        <f>VLOOKUP($I$2,'Saisie résultats'!$C$9:$BT$18,56,0)</f>
        <v>0</v>
      </c>
      <c r="F67" s="66"/>
      <c r="G67" s="73"/>
      <c r="I67" s="31"/>
    </row>
    <row r="68" spans="1:9" ht="15.75" customHeight="1" thickBot="1" x14ac:dyDescent="0.3">
      <c r="A68" s="22"/>
      <c r="B68" s="22"/>
      <c r="C68" s="63"/>
      <c r="D68" s="26">
        <v>56</v>
      </c>
      <c r="E68" s="33">
        <f>VLOOKUP($I$2,'Saisie résultats'!$C$9:$BT$18,57,0)</f>
        <v>0</v>
      </c>
      <c r="F68" s="66"/>
      <c r="G68" s="73"/>
      <c r="I68" s="31"/>
    </row>
    <row r="69" spans="1:9" ht="15.75" thickBot="1" x14ac:dyDescent="0.3">
      <c r="A69" s="22"/>
      <c r="B69" s="22"/>
      <c r="C69" s="63"/>
      <c r="D69" s="26">
        <v>57</v>
      </c>
      <c r="E69" s="33">
        <f>VLOOKUP($I$2,'Saisie résultats'!$C$9:$BT$18,58,0)</f>
        <v>0</v>
      </c>
      <c r="F69" s="66"/>
      <c r="G69" s="73"/>
      <c r="I69" s="31"/>
    </row>
    <row r="70" spans="1:9" ht="15.75" customHeight="1" thickBot="1" x14ac:dyDescent="0.3">
      <c r="A70" s="22"/>
      <c r="B70" s="22"/>
      <c r="C70" s="63"/>
      <c r="D70" s="26">
        <v>58</v>
      </c>
      <c r="E70" s="33">
        <f>VLOOKUP($I$2,'Saisie résultats'!$C$9:$BT$18,59,0)</f>
        <v>0</v>
      </c>
      <c r="F70" s="66"/>
      <c r="G70" s="73"/>
      <c r="I70" s="31"/>
    </row>
    <row r="71" spans="1:9" ht="15.75" thickBot="1" x14ac:dyDescent="0.3">
      <c r="A71" s="22"/>
      <c r="B71" s="22"/>
      <c r="C71" s="63"/>
      <c r="D71" s="26">
        <v>59</v>
      </c>
      <c r="E71" s="33">
        <f>VLOOKUP($I$2,'Saisie résultats'!$C$9:$BT$18,60,0)</f>
        <v>0</v>
      </c>
      <c r="F71" s="66"/>
      <c r="G71" s="73"/>
      <c r="I71" s="31"/>
    </row>
    <row r="72" spans="1:9" ht="15.75" thickBot="1" x14ac:dyDescent="0.3">
      <c r="A72" s="22"/>
      <c r="B72" s="22"/>
      <c r="C72" s="64"/>
      <c r="D72" s="28">
        <v>60</v>
      </c>
      <c r="E72" s="33">
        <f>VLOOKUP($I$2,'Saisie résultats'!$C$9:$BT$18,61,0)</f>
        <v>0</v>
      </c>
      <c r="F72" s="67"/>
      <c r="G72" s="74"/>
      <c r="I72" s="31"/>
    </row>
    <row r="73" spans="1:9" x14ac:dyDescent="0.25">
      <c r="I73" s="31"/>
    </row>
    <row r="74" spans="1:9" x14ac:dyDescent="0.25">
      <c r="I74" s="31"/>
    </row>
    <row r="75" spans="1:9" x14ac:dyDescent="0.25">
      <c r="I75" s="31"/>
    </row>
    <row r="76" spans="1:9" x14ac:dyDescent="0.25">
      <c r="I76" s="31"/>
    </row>
    <row r="77" spans="1:9" x14ac:dyDescent="0.25">
      <c r="I77" s="31"/>
    </row>
    <row r="78" spans="1:9" x14ac:dyDescent="0.25">
      <c r="I78" s="31"/>
    </row>
    <row r="79" spans="1:9" x14ac:dyDescent="0.25">
      <c r="I79" s="31"/>
    </row>
    <row r="80" spans="1:9" x14ac:dyDescent="0.25">
      <c r="I80" s="31"/>
    </row>
    <row r="81" spans="9:9" x14ac:dyDescent="0.25">
      <c r="I81" s="31"/>
    </row>
    <row r="82" spans="9:9" x14ac:dyDescent="0.25">
      <c r="I82" s="31"/>
    </row>
    <row r="83" spans="9:9" x14ac:dyDescent="0.25">
      <c r="I83" s="31"/>
    </row>
    <row r="84" spans="9:9" x14ac:dyDescent="0.25">
      <c r="I84" s="31"/>
    </row>
    <row r="85" spans="9:9" x14ac:dyDescent="0.25">
      <c r="I85" s="31"/>
    </row>
    <row r="86" spans="9:9" x14ac:dyDescent="0.25">
      <c r="I86" s="31"/>
    </row>
    <row r="87" spans="9:9" x14ac:dyDescent="0.25">
      <c r="I87" s="31"/>
    </row>
    <row r="88" spans="9:9" x14ac:dyDescent="0.25">
      <c r="I88" s="31"/>
    </row>
    <row r="89" spans="9:9" x14ac:dyDescent="0.25">
      <c r="I89" s="31"/>
    </row>
    <row r="90" spans="9:9" x14ac:dyDescent="0.25">
      <c r="I90" s="31"/>
    </row>
    <row r="91" spans="9:9" x14ac:dyDescent="0.25">
      <c r="I91" s="31"/>
    </row>
    <row r="92" spans="9:9" x14ac:dyDescent="0.25">
      <c r="I92" s="31"/>
    </row>
    <row r="93" spans="9:9" x14ac:dyDescent="0.25">
      <c r="I93" s="31"/>
    </row>
    <row r="94" spans="9:9" x14ac:dyDescent="0.25">
      <c r="I94" s="31"/>
    </row>
    <row r="95" spans="9:9" x14ac:dyDescent="0.25">
      <c r="I95" s="31"/>
    </row>
    <row r="96" spans="9:9" x14ac:dyDescent="0.25">
      <c r="I96" s="31"/>
    </row>
    <row r="97" spans="9:9" x14ac:dyDescent="0.25">
      <c r="I97" s="31"/>
    </row>
    <row r="98" spans="9:9" x14ac:dyDescent="0.25">
      <c r="I98" s="31"/>
    </row>
    <row r="99" spans="9:9" x14ac:dyDescent="0.25">
      <c r="I99" s="31"/>
    </row>
    <row r="100" spans="9:9" x14ac:dyDescent="0.25">
      <c r="I100" s="31"/>
    </row>
    <row r="101" spans="9:9" x14ac:dyDescent="0.25">
      <c r="I101" s="31"/>
    </row>
    <row r="102" spans="9:9" x14ac:dyDescent="0.25">
      <c r="I102" s="31"/>
    </row>
    <row r="103" spans="9:9" x14ac:dyDescent="0.25">
      <c r="I103" s="31"/>
    </row>
    <row r="104" spans="9:9" x14ac:dyDescent="0.25">
      <c r="I104" s="31"/>
    </row>
    <row r="105" spans="9:9" x14ac:dyDescent="0.25">
      <c r="I105" s="31"/>
    </row>
    <row r="106" spans="9:9" x14ac:dyDescent="0.25">
      <c r="I106" s="31"/>
    </row>
    <row r="107" spans="9:9" x14ac:dyDescent="0.25">
      <c r="I107" s="31"/>
    </row>
    <row r="108" spans="9:9" x14ac:dyDescent="0.25">
      <c r="I108" s="31"/>
    </row>
    <row r="109" spans="9:9" x14ac:dyDescent="0.25">
      <c r="I109" s="31"/>
    </row>
    <row r="110" spans="9:9" x14ac:dyDescent="0.25">
      <c r="I110" s="31"/>
    </row>
    <row r="111" spans="9:9" x14ac:dyDescent="0.25">
      <c r="I111" s="31"/>
    </row>
    <row r="112" spans="9:9" x14ac:dyDescent="0.25">
      <c r="I112" s="31"/>
    </row>
    <row r="113" spans="9:9" x14ac:dyDescent="0.25">
      <c r="I113" s="31"/>
    </row>
    <row r="114" spans="9:9" x14ac:dyDescent="0.25">
      <c r="I114" s="31"/>
    </row>
    <row r="115" spans="9:9" x14ac:dyDescent="0.25">
      <c r="I115" s="31"/>
    </row>
    <row r="116" spans="9:9" x14ac:dyDescent="0.25">
      <c r="I116" s="31"/>
    </row>
    <row r="117" spans="9:9" x14ac:dyDescent="0.25">
      <c r="I117" s="31"/>
    </row>
    <row r="118" spans="9:9" x14ac:dyDescent="0.25">
      <c r="I118" s="31"/>
    </row>
    <row r="119" spans="9:9" x14ac:dyDescent="0.25">
      <c r="I119" s="31"/>
    </row>
    <row r="120" spans="9:9" x14ac:dyDescent="0.25">
      <c r="I120" s="31"/>
    </row>
    <row r="121" spans="9:9" x14ac:dyDescent="0.25">
      <c r="I121" s="31"/>
    </row>
    <row r="122" spans="9:9" x14ac:dyDescent="0.25">
      <c r="I122" s="31"/>
    </row>
    <row r="123" spans="9:9" x14ac:dyDescent="0.25">
      <c r="I123" s="31"/>
    </row>
    <row r="124" spans="9:9" x14ac:dyDescent="0.25">
      <c r="I124" s="31"/>
    </row>
    <row r="125" spans="9:9" x14ac:dyDescent="0.25">
      <c r="I125" s="31"/>
    </row>
    <row r="126" spans="9:9" x14ac:dyDescent="0.25">
      <c r="I126" s="31"/>
    </row>
    <row r="127" spans="9:9" x14ac:dyDescent="0.25">
      <c r="I127" s="31"/>
    </row>
    <row r="128" spans="9:9" x14ac:dyDescent="0.25">
      <c r="I128" s="31"/>
    </row>
    <row r="129" spans="9:9" x14ac:dyDescent="0.25">
      <c r="I129" s="31"/>
    </row>
    <row r="130" spans="9:9" x14ac:dyDescent="0.25">
      <c r="I130" s="31"/>
    </row>
    <row r="131" spans="9:9" x14ac:dyDescent="0.25">
      <c r="I131" s="31"/>
    </row>
    <row r="132" spans="9:9" x14ac:dyDescent="0.25">
      <c r="I132" s="31"/>
    </row>
    <row r="133" spans="9:9" x14ac:dyDescent="0.25">
      <c r="I133" s="31"/>
    </row>
    <row r="134" spans="9:9" x14ac:dyDescent="0.25">
      <c r="I134" s="31"/>
    </row>
    <row r="135" spans="9:9" x14ac:dyDescent="0.25">
      <c r="I135" s="31"/>
    </row>
    <row r="136" spans="9:9" x14ac:dyDescent="0.25">
      <c r="I136" s="31"/>
    </row>
    <row r="137" spans="9:9" x14ac:dyDescent="0.25">
      <c r="I137" s="31"/>
    </row>
    <row r="138" spans="9:9" x14ac:dyDescent="0.25">
      <c r="I138" s="31"/>
    </row>
    <row r="139" spans="9:9" x14ac:dyDescent="0.25">
      <c r="I139" s="31"/>
    </row>
    <row r="140" spans="9:9" x14ac:dyDescent="0.25">
      <c r="I140" s="31"/>
    </row>
    <row r="141" spans="9:9" x14ac:dyDescent="0.25">
      <c r="I141" s="31"/>
    </row>
    <row r="142" spans="9:9" x14ac:dyDescent="0.25">
      <c r="I142" s="31"/>
    </row>
    <row r="143" spans="9:9" x14ac:dyDescent="0.25">
      <c r="I143" s="31"/>
    </row>
    <row r="144" spans="9:9" x14ac:dyDescent="0.25">
      <c r="I144" s="31"/>
    </row>
    <row r="145" spans="9:9" x14ac:dyDescent="0.25">
      <c r="I145" s="31"/>
    </row>
    <row r="146" spans="9:9" x14ac:dyDescent="0.25">
      <c r="I146" s="31"/>
    </row>
    <row r="147" spans="9:9" x14ac:dyDescent="0.25">
      <c r="I147" s="31"/>
    </row>
    <row r="148" spans="9:9" x14ac:dyDescent="0.25">
      <c r="I148" s="31"/>
    </row>
    <row r="149" spans="9:9" x14ac:dyDescent="0.25">
      <c r="I149" s="31"/>
    </row>
    <row r="150" spans="9:9" x14ac:dyDescent="0.25">
      <c r="I150" s="31"/>
    </row>
    <row r="151" spans="9:9" x14ac:dyDescent="0.25">
      <c r="I151" s="31"/>
    </row>
    <row r="152" spans="9:9" x14ac:dyDescent="0.25">
      <c r="I152" s="31"/>
    </row>
    <row r="153" spans="9:9" x14ac:dyDescent="0.25">
      <c r="I153" s="31"/>
    </row>
    <row r="154" spans="9:9" x14ac:dyDescent="0.25">
      <c r="I154" s="31"/>
    </row>
    <row r="155" spans="9:9" x14ac:dyDescent="0.25">
      <c r="I155" s="31"/>
    </row>
    <row r="156" spans="9:9" x14ac:dyDescent="0.25">
      <c r="I156" s="31"/>
    </row>
    <row r="157" spans="9:9" x14ac:dyDescent="0.25">
      <c r="I157" s="31"/>
    </row>
    <row r="158" spans="9:9" x14ac:dyDescent="0.25">
      <c r="I158" s="31"/>
    </row>
    <row r="159" spans="9:9" x14ac:dyDescent="0.25">
      <c r="I159" s="31"/>
    </row>
    <row r="160" spans="9:9" x14ac:dyDescent="0.25">
      <c r="I160" s="31"/>
    </row>
    <row r="161" spans="9:9" x14ac:dyDescent="0.25">
      <c r="I161" s="31"/>
    </row>
    <row r="162" spans="9:9" x14ac:dyDescent="0.25">
      <c r="I162" s="31"/>
    </row>
    <row r="163" spans="9:9" x14ac:dyDescent="0.25">
      <c r="I163" s="31"/>
    </row>
    <row r="164" spans="9:9" x14ac:dyDescent="0.25">
      <c r="I164" s="31"/>
    </row>
    <row r="165" spans="9:9" x14ac:dyDescent="0.25">
      <c r="I165" s="31"/>
    </row>
    <row r="166" spans="9:9" x14ac:dyDescent="0.25">
      <c r="I166" s="31"/>
    </row>
    <row r="167" spans="9:9" x14ac:dyDescent="0.25">
      <c r="I167" s="31"/>
    </row>
    <row r="168" spans="9:9" x14ac:dyDescent="0.25">
      <c r="I168" s="31"/>
    </row>
    <row r="169" spans="9:9" x14ac:dyDescent="0.25">
      <c r="I169" s="31"/>
    </row>
    <row r="170" spans="9:9" x14ac:dyDescent="0.25">
      <c r="I170" s="31"/>
    </row>
    <row r="171" spans="9:9" x14ac:dyDescent="0.25">
      <c r="I171" s="31"/>
    </row>
    <row r="172" spans="9:9" x14ac:dyDescent="0.25">
      <c r="I172" s="31"/>
    </row>
    <row r="173" spans="9:9" x14ac:dyDescent="0.25">
      <c r="I173" s="31"/>
    </row>
    <row r="174" spans="9:9" x14ac:dyDescent="0.25">
      <c r="I174" s="31"/>
    </row>
    <row r="175" spans="9:9" x14ac:dyDescent="0.25">
      <c r="I175" s="31"/>
    </row>
    <row r="176" spans="9:9" x14ac:dyDescent="0.25">
      <c r="I176" s="31"/>
    </row>
    <row r="177" spans="9:9" x14ac:dyDescent="0.25">
      <c r="I177" s="31"/>
    </row>
    <row r="178" spans="9:9" x14ac:dyDescent="0.25">
      <c r="I178" s="31"/>
    </row>
    <row r="179" spans="9:9" x14ac:dyDescent="0.25">
      <c r="I179" s="31"/>
    </row>
    <row r="180" spans="9:9" x14ac:dyDescent="0.25">
      <c r="I180" s="31"/>
    </row>
    <row r="181" spans="9:9" x14ac:dyDescent="0.25">
      <c r="I181" s="31"/>
    </row>
    <row r="182" spans="9:9" x14ac:dyDescent="0.25">
      <c r="I182" s="31"/>
    </row>
    <row r="183" spans="9:9" x14ac:dyDescent="0.25">
      <c r="I183" s="31"/>
    </row>
    <row r="184" spans="9:9" x14ac:dyDescent="0.25">
      <c r="I184" s="31"/>
    </row>
    <row r="185" spans="9:9" x14ac:dyDescent="0.25">
      <c r="I185" s="31"/>
    </row>
    <row r="186" spans="9:9" x14ac:dyDescent="0.25">
      <c r="I186" s="31"/>
    </row>
    <row r="187" spans="9:9" x14ac:dyDescent="0.25">
      <c r="I187" s="31"/>
    </row>
    <row r="188" spans="9:9" x14ac:dyDescent="0.25">
      <c r="I188" s="31"/>
    </row>
    <row r="189" spans="9:9" x14ac:dyDescent="0.25">
      <c r="I189" s="31"/>
    </row>
    <row r="190" spans="9:9" x14ac:dyDescent="0.25">
      <c r="I190" s="31"/>
    </row>
    <row r="191" spans="9:9" x14ac:dyDescent="0.25">
      <c r="I191" s="31"/>
    </row>
    <row r="192" spans="9:9" x14ac:dyDescent="0.25">
      <c r="I192" s="31"/>
    </row>
    <row r="193" spans="9:9" x14ac:dyDescent="0.25">
      <c r="I193" s="31"/>
    </row>
    <row r="194" spans="9:9" x14ac:dyDescent="0.25">
      <c r="I194" s="31"/>
    </row>
    <row r="195" spans="9:9" x14ac:dyDescent="0.25">
      <c r="I195" s="31"/>
    </row>
    <row r="196" spans="9:9" x14ac:dyDescent="0.25">
      <c r="I196" s="31"/>
    </row>
    <row r="197" spans="9:9" x14ac:dyDescent="0.25">
      <c r="I197" s="31"/>
    </row>
    <row r="198" spans="9:9" x14ac:dyDescent="0.25">
      <c r="I198" s="31"/>
    </row>
    <row r="199" spans="9:9" x14ac:dyDescent="0.25">
      <c r="I199" s="31"/>
    </row>
    <row r="200" spans="9:9" x14ac:dyDescent="0.25">
      <c r="I200" s="31"/>
    </row>
    <row r="201" spans="9:9" x14ac:dyDescent="0.25">
      <c r="I201" s="31"/>
    </row>
    <row r="202" spans="9:9" x14ac:dyDescent="0.25">
      <c r="I202" s="31"/>
    </row>
    <row r="203" spans="9:9" x14ac:dyDescent="0.25">
      <c r="I203" s="31"/>
    </row>
    <row r="204" spans="9:9" x14ac:dyDescent="0.25">
      <c r="I204" s="31"/>
    </row>
    <row r="205" spans="9:9" x14ac:dyDescent="0.25">
      <c r="I205" s="31"/>
    </row>
    <row r="206" spans="9:9" x14ac:dyDescent="0.25">
      <c r="I206" s="31"/>
    </row>
    <row r="207" spans="9:9" x14ac:dyDescent="0.25">
      <c r="I207" s="31"/>
    </row>
    <row r="208" spans="9:9" x14ac:dyDescent="0.25">
      <c r="I208" s="31"/>
    </row>
    <row r="209" spans="9:9" x14ac:dyDescent="0.25">
      <c r="I209" s="31"/>
    </row>
    <row r="210" spans="9:9" x14ac:dyDescent="0.25">
      <c r="I210" s="31"/>
    </row>
    <row r="211" spans="9:9" x14ac:dyDescent="0.25">
      <c r="I211" s="31"/>
    </row>
    <row r="212" spans="9:9" x14ac:dyDescent="0.25">
      <c r="I212" s="31"/>
    </row>
    <row r="213" spans="9:9" x14ac:dyDescent="0.25">
      <c r="I213" s="31"/>
    </row>
    <row r="214" spans="9:9" x14ac:dyDescent="0.25">
      <c r="I214" s="31"/>
    </row>
    <row r="215" spans="9:9" x14ac:dyDescent="0.25">
      <c r="I215" s="31"/>
    </row>
    <row r="216" spans="9:9" x14ac:dyDescent="0.25">
      <c r="I216" s="31"/>
    </row>
    <row r="217" spans="9:9" x14ac:dyDescent="0.25">
      <c r="I217" s="31"/>
    </row>
    <row r="218" spans="9:9" x14ac:dyDescent="0.25">
      <c r="I218" s="31"/>
    </row>
    <row r="219" spans="9:9" x14ac:dyDescent="0.25">
      <c r="I219" s="31"/>
    </row>
    <row r="220" spans="9:9" x14ac:dyDescent="0.25">
      <c r="I220" s="31"/>
    </row>
    <row r="221" spans="9:9" x14ac:dyDescent="0.25">
      <c r="I221" s="31"/>
    </row>
    <row r="222" spans="9:9" x14ac:dyDescent="0.25">
      <c r="I222" s="31"/>
    </row>
    <row r="223" spans="9:9" x14ac:dyDescent="0.25">
      <c r="I223" s="31"/>
    </row>
    <row r="224" spans="9:9" x14ac:dyDescent="0.25">
      <c r="I224" s="31"/>
    </row>
    <row r="225" spans="9:9" x14ac:dyDescent="0.25">
      <c r="I225" s="31"/>
    </row>
    <row r="226" spans="9:9" x14ac:dyDescent="0.25">
      <c r="I226" s="31"/>
    </row>
    <row r="227" spans="9:9" x14ac:dyDescent="0.25">
      <c r="I227" s="31"/>
    </row>
    <row r="228" spans="9:9" x14ac:dyDescent="0.25">
      <c r="I228" s="31"/>
    </row>
    <row r="229" spans="9:9" x14ac:dyDescent="0.25">
      <c r="I229" s="31"/>
    </row>
    <row r="230" spans="9:9" x14ac:dyDescent="0.25">
      <c r="I230" s="31"/>
    </row>
    <row r="231" spans="9:9" x14ac:dyDescent="0.25">
      <c r="I231" s="31"/>
    </row>
    <row r="232" spans="9:9" x14ac:dyDescent="0.25">
      <c r="I232" s="31"/>
    </row>
    <row r="233" spans="9:9" x14ac:dyDescent="0.25">
      <c r="I233" s="31"/>
    </row>
    <row r="234" spans="9:9" x14ac:dyDescent="0.25">
      <c r="I234" s="31"/>
    </row>
    <row r="235" spans="9:9" x14ac:dyDescent="0.25">
      <c r="I235" s="31"/>
    </row>
    <row r="236" spans="9:9" x14ac:dyDescent="0.25">
      <c r="I236" s="31"/>
    </row>
    <row r="237" spans="9:9" x14ac:dyDescent="0.25">
      <c r="I237" s="31"/>
    </row>
    <row r="238" spans="9:9" x14ac:dyDescent="0.25">
      <c r="I238" s="31"/>
    </row>
    <row r="239" spans="9:9" x14ac:dyDescent="0.25">
      <c r="I239" s="31"/>
    </row>
    <row r="240" spans="9:9" x14ac:dyDescent="0.25">
      <c r="I240" s="31"/>
    </row>
    <row r="241" spans="9:9" x14ac:dyDescent="0.25">
      <c r="I241" s="31"/>
    </row>
    <row r="242" spans="9:9" x14ac:dyDescent="0.25">
      <c r="I242" s="31"/>
    </row>
    <row r="243" spans="9:9" x14ac:dyDescent="0.25">
      <c r="I243" s="31"/>
    </row>
    <row r="244" spans="9:9" x14ac:dyDescent="0.25">
      <c r="I244" s="31"/>
    </row>
    <row r="245" spans="9:9" x14ac:dyDescent="0.25">
      <c r="I245" s="31"/>
    </row>
    <row r="246" spans="9:9" x14ac:dyDescent="0.25">
      <c r="I246" s="31"/>
    </row>
    <row r="247" spans="9:9" x14ac:dyDescent="0.25">
      <c r="I247" s="31"/>
    </row>
    <row r="248" spans="9:9" x14ac:dyDescent="0.25">
      <c r="I248" s="31"/>
    </row>
    <row r="249" spans="9:9" x14ac:dyDescent="0.25">
      <c r="I249" s="31"/>
    </row>
    <row r="250" spans="9:9" x14ac:dyDescent="0.25">
      <c r="I250" s="31"/>
    </row>
    <row r="251" spans="9:9" x14ac:dyDescent="0.25">
      <c r="I251" s="31"/>
    </row>
    <row r="252" spans="9:9" x14ac:dyDescent="0.25">
      <c r="I252" s="31"/>
    </row>
    <row r="253" spans="9:9" x14ac:dyDescent="0.25">
      <c r="I253" s="31"/>
    </row>
    <row r="254" spans="9:9" x14ac:dyDescent="0.25">
      <c r="I254" s="31"/>
    </row>
  </sheetData>
  <sheetProtection password="C880" sheet="1" objects="1" scenarios="1" selectLockedCells="1"/>
  <mergeCells count="13">
    <mergeCell ref="G2:G3"/>
    <mergeCell ref="C4:C34"/>
    <mergeCell ref="C35:C50"/>
    <mergeCell ref="C51:C62"/>
    <mergeCell ref="C63:C72"/>
    <mergeCell ref="F63:F72"/>
    <mergeCell ref="D2:D3"/>
    <mergeCell ref="E2:E3"/>
    <mergeCell ref="F2:F3"/>
    <mergeCell ref="F4:F34"/>
    <mergeCell ref="G4:G72"/>
    <mergeCell ref="F35:F50"/>
    <mergeCell ref="F51:F62"/>
  </mergeCells>
  <conditionalFormatting sqref="E4:E72">
    <cfRule type="cellIs" dxfId="11" priority="1" stopIfTrue="1" operator="equal">
      <formula>1</formula>
    </cfRule>
    <cfRule type="cellIs" dxfId="10" priority="2" stopIfTrue="1" operator="equal">
      <formula>9</formula>
    </cfRule>
    <cfRule type="cellIs" dxfId="9" priority="3" stopIfTrue="1" operator="between">
      <formula>2</formula>
      <formula>5</formula>
    </cfRule>
  </conditionalFormatting>
  <conditionalFormatting sqref="F4:F67 G4:G72">
    <cfRule type="cellIs" dxfId="8" priority="4" stopIfTrue="1" operator="between">
      <formula>0</formula>
      <formula>0.5</formula>
    </cfRule>
    <cfRule type="cellIs" dxfId="7" priority="5" stopIfTrue="1" operator="between">
      <formula>0.5</formula>
      <formula>0.75</formula>
    </cfRule>
    <cfRule type="cellIs" dxfId="6" priority="6" stopIfTrue="1" operator="greaterThan">
      <formula>0.75</formula>
    </cfRule>
  </conditionalFormatting>
  <dataValidations count="2">
    <dataValidation type="list" allowBlank="1" showInputMessage="1" showErrorMessage="1" sqref="I65547 WVQ983051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JE65547 TA65547 ACW65547 AMS65547 AWO65547 BGK65547 BQG65547 CAC65547 CJY65547 CTU65547 DDQ65547 DNM65547 DXI65547 EHE65547 ERA65547 FAW65547 FKS65547 FUO65547 GEK65547 GOG65547 GYC65547 HHY65547 HRU65547 IBQ65547 ILM65547 IVI65547 JFE65547 JPA65547 JYW65547 KIS65547 KSO65547 LCK65547 LMG65547 LWC65547 MFY65547 MPU65547 MZQ65547 NJM65547 NTI65547 ODE65547 ONA65547 OWW65547 PGS65547 PQO65547 QAK65547 QKG65547 QUC65547 RDY65547 RNU65547 RXQ65547 SHM65547 SRI65547 TBE65547 TLA65547 TUW65547 UES65547 UOO65547 UYK65547 VIG65547 VSC65547 WBY65547 WLU65547 WVQ65547 I131083 JE131083 TA131083 ACW131083 AMS131083 AWO131083 BGK131083 BQG131083 CAC131083 CJY131083 CTU131083 DDQ131083 DNM131083 DXI131083 EHE131083 ERA131083 FAW131083 FKS131083 FUO131083 GEK131083 GOG131083 GYC131083 HHY131083 HRU131083 IBQ131083 ILM131083 IVI131083 JFE131083 JPA131083 JYW131083 KIS131083 KSO131083 LCK131083 LMG131083 LWC131083 MFY131083 MPU131083 MZQ131083 NJM131083 NTI131083 ODE131083 ONA131083 OWW131083 PGS131083 PQO131083 QAK131083 QKG131083 QUC131083 RDY131083 RNU131083 RXQ131083 SHM131083 SRI131083 TBE131083 TLA131083 TUW131083 UES131083 UOO131083 UYK131083 VIG131083 VSC131083 WBY131083 WLU131083 WVQ131083 I196619 JE196619 TA196619 ACW196619 AMS196619 AWO196619 BGK196619 BQG196619 CAC196619 CJY196619 CTU196619 DDQ196619 DNM196619 DXI196619 EHE196619 ERA196619 FAW196619 FKS196619 FUO196619 GEK196619 GOG196619 GYC196619 HHY196619 HRU196619 IBQ196619 ILM196619 IVI196619 JFE196619 JPA196619 JYW196619 KIS196619 KSO196619 LCK196619 LMG196619 LWC196619 MFY196619 MPU196619 MZQ196619 NJM196619 NTI196619 ODE196619 ONA196619 OWW196619 PGS196619 PQO196619 QAK196619 QKG196619 QUC196619 RDY196619 RNU196619 RXQ196619 SHM196619 SRI196619 TBE196619 TLA196619 TUW196619 UES196619 UOO196619 UYK196619 VIG196619 VSC196619 WBY196619 WLU196619 WVQ196619 I262155 JE262155 TA262155 ACW262155 AMS262155 AWO262155 BGK262155 BQG262155 CAC262155 CJY262155 CTU262155 DDQ262155 DNM262155 DXI262155 EHE262155 ERA262155 FAW262155 FKS262155 FUO262155 GEK262155 GOG262155 GYC262155 HHY262155 HRU262155 IBQ262155 ILM262155 IVI262155 JFE262155 JPA262155 JYW262155 KIS262155 KSO262155 LCK262155 LMG262155 LWC262155 MFY262155 MPU262155 MZQ262155 NJM262155 NTI262155 ODE262155 ONA262155 OWW262155 PGS262155 PQO262155 QAK262155 QKG262155 QUC262155 RDY262155 RNU262155 RXQ262155 SHM262155 SRI262155 TBE262155 TLA262155 TUW262155 UES262155 UOO262155 UYK262155 VIG262155 VSC262155 WBY262155 WLU262155 WVQ262155 I327691 JE327691 TA327691 ACW327691 AMS327691 AWO327691 BGK327691 BQG327691 CAC327691 CJY327691 CTU327691 DDQ327691 DNM327691 DXI327691 EHE327691 ERA327691 FAW327691 FKS327691 FUO327691 GEK327691 GOG327691 GYC327691 HHY327691 HRU327691 IBQ327691 ILM327691 IVI327691 JFE327691 JPA327691 JYW327691 KIS327691 KSO327691 LCK327691 LMG327691 LWC327691 MFY327691 MPU327691 MZQ327691 NJM327691 NTI327691 ODE327691 ONA327691 OWW327691 PGS327691 PQO327691 QAK327691 QKG327691 QUC327691 RDY327691 RNU327691 RXQ327691 SHM327691 SRI327691 TBE327691 TLA327691 TUW327691 UES327691 UOO327691 UYK327691 VIG327691 VSC327691 WBY327691 WLU327691 WVQ327691 I393227 JE393227 TA393227 ACW393227 AMS393227 AWO393227 BGK393227 BQG393227 CAC393227 CJY393227 CTU393227 DDQ393227 DNM393227 DXI393227 EHE393227 ERA393227 FAW393227 FKS393227 FUO393227 GEK393227 GOG393227 GYC393227 HHY393227 HRU393227 IBQ393227 ILM393227 IVI393227 JFE393227 JPA393227 JYW393227 KIS393227 KSO393227 LCK393227 LMG393227 LWC393227 MFY393227 MPU393227 MZQ393227 NJM393227 NTI393227 ODE393227 ONA393227 OWW393227 PGS393227 PQO393227 QAK393227 QKG393227 QUC393227 RDY393227 RNU393227 RXQ393227 SHM393227 SRI393227 TBE393227 TLA393227 TUW393227 UES393227 UOO393227 UYK393227 VIG393227 VSC393227 WBY393227 WLU393227 WVQ393227 I458763 JE458763 TA458763 ACW458763 AMS458763 AWO458763 BGK458763 BQG458763 CAC458763 CJY458763 CTU458763 DDQ458763 DNM458763 DXI458763 EHE458763 ERA458763 FAW458763 FKS458763 FUO458763 GEK458763 GOG458763 GYC458763 HHY458763 HRU458763 IBQ458763 ILM458763 IVI458763 JFE458763 JPA458763 JYW458763 KIS458763 KSO458763 LCK458763 LMG458763 LWC458763 MFY458763 MPU458763 MZQ458763 NJM458763 NTI458763 ODE458763 ONA458763 OWW458763 PGS458763 PQO458763 QAK458763 QKG458763 QUC458763 RDY458763 RNU458763 RXQ458763 SHM458763 SRI458763 TBE458763 TLA458763 TUW458763 UES458763 UOO458763 UYK458763 VIG458763 VSC458763 WBY458763 WLU458763 WVQ458763 I524299 JE524299 TA524299 ACW524299 AMS524299 AWO524299 BGK524299 BQG524299 CAC524299 CJY524299 CTU524299 DDQ524299 DNM524299 DXI524299 EHE524299 ERA524299 FAW524299 FKS524299 FUO524299 GEK524299 GOG524299 GYC524299 HHY524299 HRU524299 IBQ524299 ILM524299 IVI524299 JFE524299 JPA524299 JYW524299 KIS524299 KSO524299 LCK524299 LMG524299 LWC524299 MFY524299 MPU524299 MZQ524299 NJM524299 NTI524299 ODE524299 ONA524299 OWW524299 PGS524299 PQO524299 QAK524299 QKG524299 QUC524299 RDY524299 RNU524299 RXQ524299 SHM524299 SRI524299 TBE524299 TLA524299 TUW524299 UES524299 UOO524299 UYK524299 VIG524299 VSC524299 WBY524299 WLU524299 WVQ524299 I589835 JE589835 TA589835 ACW589835 AMS589835 AWO589835 BGK589835 BQG589835 CAC589835 CJY589835 CTU589835 DDQ589835 DNM589835 DXI589835 EHE589835 ERA589835 FAW589835 FKS589835 FUO589835 GEK589835 GOG589835 GYC589835 HHY589835 HRU589835 IBQ589835 ILM589835 IVI589835 JFE589835 JPA589835 JYW589835 KIS589835 KSO589835 LCK589835 LMG589835 LWC589835 MFY589835 MPU589835 MZQ589835 NJM589835 NTI589835 ODE589835 ONA589835 OWW589835 PGS589835 PQO589835 QAK589835 QKG589835 QUC589835 RDY589835 RNU589835 RXQ589835 SHM589835 SRI589835 TBE589835 TLA589835 TUW589835 UES589835 UOO589835 UYK589835 VIG589835 VSC589835 WBY589835 WLU589835 WVQ589835 I655371 JE655371 TA655371 ACW655371 AMS655371 AWO655371 BGK655371 BQG655371 CAC655371 CJY655371 CTU655371 DDQ655371 DNM655371 DXI655371 EHE655371 ERA655371 FAW655371 FKS655371 FUO655371 GEK655371 GOG655371 GYC655371 HHY655371 HRU655371 IBQ655371 ILM655371 IVI655371 JFE655371 JPA655371 JYW655371 KIS655371 KSO655371 LCK655371 LMG655371 LWC655371 MFY655371 MPU655371 MZQ655371 NJM655371 NTI655371 ODE655371 ONA655371 OWW655371 PGS655371 PQO655371 QAK655371 QKG655371 QUC655371 RDY655371 RNU655371 RXQ655371 SHM655371 SRI655371 TBE655371 TLA655371 TUW655371 UES655371 UOO655371 UYK655371 VIG655371 VSC655371 WBY655371 WLU655371 WVQ655371 I720907 JE720907 TA720907 ACW720907 AMS720907 AWO720907 BGK720907 BQG720907 CAC720907 CJY720907 CTU720907 DDQ720907 DNM720907 DXI720907 EHE720907 ERA720907 FAW720907 FKS720907 FUO720907 GEK720907 GOG720907 GYC720907 HHY720907 HRU720907 IBQ720907 ILM720907 IVI720907 JFE720907 JPA720907 JYW720907 KIS720907 KSO720907 LCK720907 LMG720907 LWC720907 MFY720907 MPU720907 MZQ720907 NJM720907 NTI720907 ODE720907 ONA720907 OWW720907 PGS720907 PQO720907 QAK720907 QKG720907 QUC720907 RDY720907 RNU720907 RXQ720907 SHM720907 SRI720907 TBE720907 TLA720907 TUW720907 UES720907 UOO720907 UYK720907 VIG720907 VSC720907 WBY720907 WLU720907 WVQ720907 I786443 JE786443 TA786443 ACW786443 AMS786443 AWO786443 BGK786443 BQG786443 CAC786443 CJY786443 CTU786443 DDQ786443 DNM786443 DXI786443 EHE786443 ERA786443 FAW786443 FKS786443 FUO786443 GEK786443 GOG786443 GYC786443 HHY786443 HRU786443 IBQ786443 ILM786443 IVI786443 JFE786443 JPA786443 JYW786443 KIS786443 KSO786443 LCK786443 LMG786443 LWC786443 MFY786443 MPU786443 MZQ786443 NJM786443 NTI786443 ODE786443 ONA786443 OWW786443 PGS786443 PQO786443 QAK786443 QKG786443 QUC786443 RDY786443 RNU786443 RXQ786443 SHM786443 SRI786443 TBE786443 TLA786443 TUW786443 UES786443 UOO786443 UYK786443 VIG786443 VSC786443 WBY786443 WLU786443 WVQ786443 I851979 JE851979 TA851979 ACW851979 AMS851979 AWO851979 BGK851979 BQG851979 CAC851979 CJY851979 CTU851979 DDQ851979 DNM851979 DXI851979 EHE851979 ERA851979 FAW851979 FKS851979 FUO851979 GEK851979 GOG851979 GYC851979 HHY851979 HRU851979 IBQ851979 ILM851979 IVI851979 JFE851979 JPA851979 JYW851979 KIS851979 KSO851979 LCK851979 LMG851979 LWC851979 MFY851979 MPU851979 MZQ851979 NJM851979 NTI851979 ODE851979 ONA851979 OWW851979 PGS851979 PQO851979 QAK851979 QKG851979 QUC851979 RDY851979 RNU851979 RXQ851979 SHM851979 SRI851979 TBE851979 TLA851979 TUW851979 UES851979 UOO851979 UYK851979 VIG851979 VSC851979 WBY851979 WLU851979 WVQ851979 I917515 JE917515 TA917515 ACW917515 AMS917515 AWO917515 BGK917515 BQG917515 CAC917515 CJY917515 CTU917515 DDQ917515 DNM917515 DXI917515 EHE917515 ERA917515 FAW917515 FKS917515 FUO917515 GEK917515 GOG917515 GYC917515 HHY917515 HRU917515 IBQ917515 ILM917515 IVI917515 JFE917515 JPA917515 JYW917515 KIS917515 KSO917515 LCK917515 LMG917515 LWC917515 MFY917515 MPU917515 MZQ917515 NJM917515 NTI917515 ODE917515 ONA917515 OWW917515 PGS917515 PQO917515 QAK917515 QKG917515 QUC917515 RDY917515 RNU917515 RXQ917515 SHM917515 SRI917515 TBE917515 TLA917515 TUW917515 UES917515 UOO917515 UYK917515 VIG917515 VSC917515 WBY917515 WLU917515 WVQ917515 I983051 JE983051 TA983051 ACW983051 AMS983051 AWO983051 BGK983051 BQG983051 CAC983051 CJY983051 CTU983051 DDQ983051 DNM983051 DXI983051 EHE983051 ERA983051 FAW983051 FKS983051 FUO983051 GEK983051 GOG983051 GYC983051 HHY983051 HRU983051 IBQ983051 ILM983051 IVI983051 JFE983051 JPA983051 JYW983051 KIS983051 KSO983051 LCK983051 LMG983051 LWC983051 MFY983051 MPU983051 MZQ983051 NJM983051 NTI983051 ODE983051 ONA983051 OWW983051 PGS983051 PQO983051 QAK983051 QKG983051 QUC983051 RDY983051 RNU983051 RXQ983051 SHM983051 SRI983051 TBE983051 TLA983051 TUW983051 UES983051 UOO983051 UYK983051 VIG983051 VSC983051 WBY983051 WLU983051" xr:uid="{00000000-0002-0000-0200-000000000000}">
      <formula1>$I$3:$I$196</formula1>
    </dataValidation>
    <dataValidation type="list" allowBlank="1" showInputMessage="1" showErrorMessage="1" sqref="I2:I12" xr:uid="{00000000-0002-0000-0200-000001000000}">
      <formula1>$I$3:$I$12</formula1>
    </dataValidation>
  </dataValidations>
  <pageMargins left="0.19685039370078741" right="0.19685039370078741" top="0.19685039370078741" bottom="0.19685039370078741" header="0.11811023622047245" footer="0.11811023622047245"/>
  <pageSetup paperSize="9" scale="5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O253"/>
  <sheetViews>
    <sheetView view="pageBreakPreview" zoomScale="80" zoomScaleNormal="90" zoomScaleSheetLayoutView="80" workbookViewId="0">
      <selection activeCell="I2" sqref="I2"/>
    </sheetView>
  </sheetViews>
  <sheetFormatPr baseColWidth="10" defaultRowHeight="15" x14ac:dyDescent="0.25"/>
  <cols>
    <col min="1" max="1" width="8.85546875" style="10" customWidth="1"/>
    <col min="2" max="2" width="7" style="10" customWidth="1"/>
    <col min="3" max="3" width="41.28515625" style="10" customWidth="1"/>
    <col min="4" max="4" width="5.85546875" style="10" customWidth="1"/>
    <col min="5" max="5" width="7" style="10" customWidth="1"/>
    <col min="6" max="6" width="9" style="10" customWidth="1"/>
    <col min="7" max="7" width="12" style="10" customWidth="1"/>
    <col min="8" max="8" width="11.42578125" style="10"/>
    <col min="9" max="9" width="19.85546875" style="10" customWidth="1"/>
    <col min="10" max="10" width="11.42578125" style="10"/>
    <col min="11" max="11" width="24.85546875" style="10" customWidth="1"/>
    <col min="12" max="12" width="20.5703125" style="10" bestFit="1" customWidth="1"/>
    <col min="13" max="13" width="18" style="10" customWidth="1"/>
    <col min="14" max="14" width="11.42578125" style="10"/>
    <col min="15" max="15" width="12.7109375" style="10" customWidth="1"/>
    <col min="16" max="254" width="11.42578125" style="10"/>
    <col min="255" max="255" width="8.85546875" style="10" customWidth="1"/>
    <col min="256" max="256" width="7" style="10" customWidth="1"/>
    <col min="257" max="257" width="41.28515625" style="10" customWidth="1"/>
    <col min="258" max="258" width="5.85546875" style="10" customWidth="1"/>
    <col min="259" max="259" width="7" style="10" customWidth="1"/>
    <col min="260" max="260" width="7.28515625" style="10" customWidth="1"/>
    <col min="261" max="261" width="7.140625" style="10" customWidth="1"/>
    <col min="262" max="263" width="6.85546875" style="10" customWidth="1"/>
    <col min="264" max="264" width="11.42578125" style="10"/>
    <col min="265" max="265" width="19.85546875" style="10" customWidth="1"/>
    <col min="266" max="270" width="11.42578125" style="10"/>
    <col min="271" max="271" width="12.7109375" style="10" customWidth="1"/>
    <col min="272" max="510" width="11.42578125" style="10"/>
    <col min="511" max="511" width="8.85546875" style="10" customWidth="1"/>
    <col min="512" max="512" width="7" style="10" customWidth="1"/>
    <col min="513" max="513" width="41.28515625" style="10" customWidth="1"/>
    <col min="514" max="514" width="5.85546875" style="10" customWidth="1"/>
    <col min="515" max="515" width="7" style="10" customWidth="1"/>
    <col min="516" max="516" width="7.28515625" style="10" customWidth="1"/>
    <col min="517" max="517" width="7.140625" style="10" customWidth="1"/>
    <col min="518" max="519" width="6.85546875" style="10" customWidth="1"/>
    <col min="520" max="520" width="11.42578125" style="10"/>
    <col min="521" max="521" width="19.85546875" style="10" customWidth="1"/>
    <col min="522" max="526" width="11.42578125" style="10"/>
    <col min="527" max="527" width="12.7109375" style="10" customWidth="1"/>
    <col min="528" max="766" width="11.42578125" style="10"/>
    <col min="767" max="767" width="8.85546875" style="10" customWidth="1"/>
    <col min="768" max="768" width="7" style="10" customWidth="1"/>
    <col min="769" max="769" width="41.28515625" style="10" customWidth="1"/>
    <col min="770" max="770" width="5.85546875" style="10" customWidth="1"/>
    <col min="771" max="771" width="7" style="10" customWidth="1"/>
    <col min="772" max="772" width="7.28515625" style="10" customWidth="1"/>
    <col min="773" max="773" width="7.140625" style="10" customWidth="1"/>
    <col min="774" max="775" width="6.85546875" style="10" customWidth="1"/>
    <col min="776" max="776" width="11.42578125" style="10"/>
    <col min="777" max="777" width="19.85546875" style="10" customWidth="1"/>
    <col min="778" max="782" width="11.42578125" style="10"/>
    <col min="783" max="783" width="12.7109375" style="10" customWidth="1"/>
    <col min="784" max="1022" width="11.42578125" style="10"/>
    <col min="1023" max="1023" width="8.85546875" style="10" customWidth="1"/>
    <col min="1024" max="1024" width="7" style="10" customWidth="1"/>
    <col min="1025" max="1025" width="41.28515625" style="10" customWidth="1"/>
    <col min="1026" max="1026" width="5.85546875" style="10" customWidth="1"/>
    <col min="1027" max="1027" width="7" style="10" customWidth="1"/>
    <col min="1028" max="1028" width="7.28515625" style="10" customWidth="1"/>
    <col min="1029" max="1029" width="7.140625" style="10" customWidth="1"/>
    <col min="1030" max="1031" width="6.85546875" style="10" customWidth="1"/>
    <col min="1032" max="1032" width="11.42578125" style="10"/>
    <col min="1033" max="1033" width="19.85546875" style="10" customWidth="1"/>
    <col min="1034" max="1038" width="11.42578125" style="10"/>
    <col min="1039" max="1039" width="12.7109375" style="10" customWidth="1"/>
    <col min="1040" max="1278" width="11.42578125" style="10"/>
    <col min="1279" max="1279" width="8.85546875" style="10" customWidth="1"/>
    <col min="1280" max="1280" width="7" style="10" customWidth="1"/>
    <col min="1281" max="1281" width="41.28515625" style="10" customWidth="1"/>
    <col min="1282" max="1282" width="5.85546875" style="10" customWidth="1"/>
    <col min="1283" max="1283" width="7" style="10" customWidth="1"/>
    <col min="1284" max="1284" width="7.28515625" style="10" customWidth="1"/>
    <col min="1285" max="1285" width="7.140625" style="10" customWidth="1"/>
    <col min="1286" max="1287" width="6.85546875" style="10" customWidth="1"/>
    <col min="1288" max="1288" width="11.42578125" style="10"/>
    <col min="1289" max="1289" width="19.85546875" style="10" customWidth="1"/>
    <col min="1290" max="1294" width="11.42578125" style="10"/>
    <col min="1295" max="1295" width="12.7109375" style="10" customWidth="1"/>
    <col min="1296" max="1534" width="11.42578125" style="10"/>
    <col min="1535" max="1535" width="8.85546875" style="10" customWidth="1"/>
    <col min="1536" max="1536" width="7" style="10" customWidth="1"/>
    <col min="1537" max="1537" width="41.28515625" style="10" customWidth="1"/>
    <col min="1538" max="1538" width="5.85546875" style="10" customWidth="1"/>
    <col min="1539" max="1539" width="7" style="10" customWidth="1"/>
    <col min="1540" max="1540" width="7.28515625" style="10" customWidth="1"/>
    <col min="1541" max="1541" width="7.140625" style="10" customWidth="1"/>
    <col min="1542" max="1543" width="6.85546875" style="10" customWidth="1"/>
    <col min="1544" max="1544" width="11.42578125" style="10"/>
    <col min="1545" max="1545" width="19.85546875" style="10" customWidth="1"/>
    <col min="1546" max="1550" width="11.42578125" style="10"/>
    <col min="1551" max="1551" width="12.7109375" style="10" customWidth="1"/>
    <col min="1552" max="1790" width="11.42578125" style="10"/>
    <col min="1791" max="1791" width="8.85546875" style="10" customWidth="1"/>
    <col min="1792" max="1792" width="7" style="10" customWidth="1"/>
    <col min="1793" max="1793" width="41.28515625" style="10" customWidth="1"/>
    <col min="1794" max="1794" width="5.85546875" style="10" customWidth="1"/>
    <col min="1795" max="1795" width="7" style="10" customWidth="1"/>
    <col min="1796" max="1796" width="7.28515625" style="10" customWidth="1"/>
    <col min="1797" max="1797" width="7.140625" style="10" customWidth="1"/>
    <col min="1798" max="1799" width="6.85546875" style="10" customWidth="1"/>
    <col min="1800" max="1800" width="11.42578125" style="10"/>
    <col min="1801" max="1801" width="19.85546875" style="10" customWidth="1"/>
    <col min="1802" max="1806" width="11.42578125" style="10"/>
    <col min="1807" max="1807" width="12.7109375" style="10" customWidth="1"/>
    <col min="1808" max="2046" width="11.42578125" style="10"/>
    <col min="2047" max="2047" width="8.85546875" style="10" customWidth="1"/>
    <col min="2048" max="2048" width="7" style="10" customWidth="1"/>
    <col min="2049" max="2049" width="41.28515625" style="10" customWidth="1"/>
    <col min="2050" max="2050" width="5.85546875" style="10" customWidth="1"/>
    <col min="2051" max="2051" width="7" style="10" customWidth="1"/>
    <col min="2052" max="2052" width="7.28515625" style="10" customWidth="1"/>
    <col min="2053" max="2053" width="7.140625" style="10" customWidth="1"/>
    <col min="2054" max="2055" width="6.85546875" style="10" customWidth="1"/>
    <col min="2056" max="2056" width="11.42578125" style="10"/>
    <col min="2057" max="2057" width="19.85546875" style="10" customWidth="1"/>
    <col min="2058" max="2062" width="11.42578125" style="10"/>
    <col min="2063" max="2063" width="12.7109375" style="10" customWidth="1"/>
    <col min="2064" max="2302" width="11.42578125" style="10"/>
    <col min="2303" max="2303" width="8.85546875" style="10" customWidth="1"/>
    <col min="2304" max="2304" width="7" style="10" customWidth="1"/>
    <col min="2305" max="2305" width="41.28515625" style="10" customWidth="1"/>
    <col min="2306" max="2306" width="5.85546875" style="10" customWidth="1"/>
    <col min="2307" max="2307" width="7" style="10" customWidth="1"/>
    <col min="2308" max="2308" width="7.28515625" style="10" customWidth="1"/>
    <col min="2309" max="2309" width="7.140625" style="10" customWidth="1"/>
    <col min="2310" max="2311" width="6.85546875" style="10" customWidth="1"/>
    <col min="2312" max="2312" width="11.42578125" style="10"/>
    <col min="2313" max="2313" width="19.85546875" style="10" customWidth="1"/>
    <col min="2314" max="2318" width="11.42578125" style="10"/>
    <col min="2319" max="2319" width="12.7109375" style="10" customWidth="1"/>
    <col min="2320" max="2558" width="11.42578125" style="10"/>
    <col min="2559" max="2559" width="8.85546875" style="10" customWidth="1"/>
    <col min="2560" max="2560" width="7" style="10" customWidth="1"/>
    <col min="2561" max="2561" width="41.28515625" style="10" customWidth="1"/>
    <col min="2562" max="2562" width="5.85546875" style="10" customWidth="1"/>
    <col min="2563" max="2563" width="7" style="10" customWidth="1"/>
    <col min="2564" max="2564" width="7.28515625" style="10" customWidth="1"/>
    <col min="2565" max="2565" width="7.140625" style="10" customWidth="1"/>
    <col min="2566" max="2567" width="6.85546875" style="10" customWidth="1"/>
    <col min="2568" max="2568" width="11.42578125" style="10"/>
    <col min="2569" max="2569" width="19.85546875" style="10" customWidth="1"/>
    <col min="2570" max="2574" width="11.42578125" style="10"/>
    <col min="2575" max="2575" width="12.7109375" style="10" customWidth="1"/>
    <col min="2576" max="2814" width="11.42578125" style="10"/>
    <col min="2815" max="2815" width="8.85546875" style="10" customWidth="1"/>
    <col min="2816" max="2816" width="7" style="10" customWidth="1"/>
    <col min="2817" max="2817" width="41.28515625" style="10" customWidth="1"/>
    <col min="2818" max="2818" width="5.85546875" style="10" customWidth="1"/>
    <col min="2819" max="2819" width="7" style="10" customWidth="1"/>
    <col min="2820" max="2820" width="7.28515625" style="10" customWidth="1"/>
    <col min="2821" max="2821" width="7.140625" style="10" customWidth="1"/>
    <col min="2822" max="2823" width="6.85546875" style="10" customWidth="1"/>
    <col min="2824" max="2824" width="11.42578125" style="10"/>
    <col min="2825" max="2825" width="19.85546875" style="10" customWidth="1"/>
    <col min="2826" max="2830" width="11.42578125" style="10"/>
    <col min="2831" max="2831" width="12.7109375" style="10" customWidth="1"/>
    <col min="2832" max="3070" width="11.42578125" style="10"/>
    <col min="3071" max="3071" width="8.85546875" style="10" customWidth="1"/>
    <col min="3072" max="3072" width="7" style="10" customWidth="1"/>
    <col min="3073" max="3073" width="41.28515625" style="10" customWidth="1"/>
    <col min="3074" max="3074" width="5.85546875" style="10" customWidth="1"/>
    <col min="3075" max="3075" width="7" style="10" customWidth="1"/>
    <col min="3076" max="3076" width="7.28515625" style="10" customWidth="1"/>
    <col min="3077" max="3077" width="7.140625" style="10" customWidth="1"/>
    <col min="3078" max="3079" width="6.85546875" style="10" customWidth="1"/>
    <col min="3080" max="3080" width="11.42578125" style="10"/>
    <col min="3081" max="3081" width="19.85546875" style="10" customWidth="1"/>
    <col min="3082" max="3086" width="11.42578125" style="10"/>
    <col min="3087" max="3087" width="12.7109375" style="10" customWidth="1"/>
    <col min="3088" max="3326" width="11.42578125" style="10"/>
    <col min="3327" max="3327" width="8.85546875" style="10" customWidth="1"/>
    <col min="3328" max="3328" width="7" style="10" customWidth="1"/>
    <col min="3329" max="3329" width="41.28515625" style="10" customWidth="1"/>
    <col min="3330" max="3330" width="5.85546875" style="10" customWidth="1"/>
    <col min="3331" max="3331" width="7" style="10" customWidth="1"/>
    <col min="3332" max="3332" width="7.28515625" style="10" customWidth="1"/>
    <col min="3333" max="3333" width="7.140625" style="10" customWidth="1"/>
    <col min="3334" max="3335" width="6.85546875" style="10" customWidth="1"/>
    <col min="3336" max="3336" width="11.42578125" style="10"/>
    <col min="3337" max="3337" width="19.85546875" style="10" customWidth="1"/>
    <col min="3338" max="3342" width="11.42578125" style="10"/>
    <col min="3343" max="3343" width="12.7109375" style="10" customWidth="1"/>
    <col min="3344" max="3582" width="11.42578125" style="10"/>
    <col min="3583" max="3583" width="8.85546875" style="10" customWidth="1"/>
    <col min="3584" max="3584" width="7" style="10" customWidth="1"/>
    <col min="3585" max="3585" width="41.28515625" style="10" customWidth="1"/>
    <col min="3586" max="3586" width="5.85546875" style="10" customWidth="1"/>
    <col min="3587" max="3587" width="7" style="10" customWidth="1"/>
    <col min="3588" max="3588" width="7.28515625" style="10" customWidth="1"/>
    <col min="3589" max="3589" width="7.140625" style="10" customWidth="1"/>
    <col min="3590" max="3591" width="6.85546875" style="10" customWidth="1"/>
    <col min="3592" max="3592" width="11.42578125" style="10"/>
    <col min="3593" max="3593" width="19.85546875" style="10" customWidth="1"/>
    <col min="3594" max="3598" width="11.42578125" style="10"/>
    <col min="3599" max="3599" width="12.7109375" style="10" customWidth="1"/>
    <col min="3600" max="3838" width="11.42578125" style="10"/>
    <col min="3839" max="3839" width="8.85546875" style="10" customWidth="1"/>
    <col min="3840" max="3840" width="7" style="10" customWidth="1"/>
    <col min="3841" max="3841" width="41.28515625" style="10" customWidth="1"/>
    <col min="3842" max="3842" width="5.85546875" style="10" customWidth="1"/>
    <col min="3843" max="3843" width="7" style="10" customWidth="1"/>
    <col min="3844" max="3844" width="7.28515625" style="10" customWidth="1"/>
    <col min="3845" max="3845" width="7.140625" style="10" customWidth="1"/>
    <col min="3846" max="3847" width="6.85546875" style="10" customWidth="1"/>
    <col min="3848" max="3848" width="11.42578125" style="10"/>
    <col min="3849" max="3849" width="19.85546875" style="10" customWidth="1"/>
    <col min="3850" max="3854" width="11.42578125" style="10"/>
    <col min="3855" max="3855" width="12.7109375" style="10" customWidth="1"/>
    <col min="3856" max="4094" width="11.42578125" style="10"/>
    <col min="4095" max="4095" width="8.85546875" style="10" customWidth="1"/>
    <col min="4096" max="4096" width="7" style="10" customWidth="1"/>
    <col min="4097" max="4097" width="41.28515625" style="10" customWidth="1"/>
    <col min="4098" max="4098" width="5.85546875" style="10" customWidth="1"/>
    <col min="4099" max="4099" width="7" style="10" customWidth="1"/>
    <col min="4100" max="4100" width="7.28515625" style="10" customWidth="1"/>
    <col min="4101" max="4101" width="7.140625" style="10" customWidth="1"/>
    <col min="4102" max="4103" width="6.85546875" style="10" customWidth="1"/>
    <col min="4104" max="4104" width="11.42578125" style="10"/>
    <col min="4105" max="4105" width="19.85546875" style="10" customWidth="1"/>
    <col min="4106" max="4110" width="11.42578125" style="10"/>
    <col min="4111" max="4111" width="12.7109375" style="10" customWidth="1"/>
    <col min="4112" max="4350" width="11.42578125" style="10"/>
    <col min="4351" max="4351" width="8.85546875" style="10" customWidth="1"/>
    <col min="4352" max="4352" width="7" style="10" customWidth="1"/>
    <col min="4353" max="4353" width="41.28515625" style="10" customWidth="1"/>
    <col min="4354" max="4354" width="5.85546875" style="10" customWidth="1"/>
    <col min="4355" max="4355" width="7" style="10" customWidth="1"/>
    <col min="4356" max="4356" width="7.28515625" style="10" customWidth="1"/>
    <col min="4357" max="4357" width="7.140625" style="10" customWidth="1"/>
    <col min="4358" max="4359" width="6.85546875" style="10" customWidth="1"/>
    <col min="4360" max="4360" width="11.42578125" style="10"/>
    <col min="4361" max="4361" width="19.85546875" style="10" customWidth="1"/>
    <col min="4362" max="4366" width="11.42578125" style="10"/>
    <col min="4367" max="4367" width="12.7109375" style="10" customWidth="1"/>
    <col min="4368" max="4606" width="11.42578125" style="10"/>
    <col min="4607" max="4607" width="8.85546875" style="10" customWidth="1"/>
    <col min="4608" max="4608" width="7" style="10" customWidth="1"/>
    <col min="4609" max="4609" width="41.28515625" style="10" customWidth="1"/>
    <col min="4610" max="4610" width="5.85546875" style="10" customWidth="1"/>
    <col min="4611" max="4611" width="7" style="10" customWidth="1"/>
    <col min="4612" max="4612" width="7.28515625" style="10" customWidth="1"/>
    <col min="4613" max="4613" width="7.140625" style="10" customWidth="1"/>
    <col min="4614" max="4615" width="6.85546875" style="10" customWidth="1"/>
    <col min="4616" max="4616" width="11.42578125" style="10"/>
    <col min="4617" max="4617" width="19.85546875" style="10" customWidth="1"/>
    <col min="4618" max="4622" width="11.42578125" style="10"/>
    <col min="4623" max="4623" width="12.7109375" style="10" customWidth="1"/>
    <col min="4624" max="4862" width="11.42578125" style="10"/>
    <col min="4863" max="4863" width="8.85546875" style="10" customWidth="1"/>
    <col min="4864" max="4864" width="7" style="10" customWidth="1"/>
    <col min="4865" max="4865" width="41.28515625" style="10" customWidth="1"/>
    <col min="4866" max="4866" width="5.85546875" style="10" customWidth="1"/>
    <col min="4867" max="4867" width="7" style="10" customWidth="1"/>
    <col min="4868" max="4868" width="7.28515625" style="10" customWidth="1"/>
    <col min="4869" max="4869" width="7.140625" style="10" customWidth="1"/>
    <col min="4870" max="4871" width="6.85546875" style="10" customWidth="1"/>
    <col min="4872" max="4872" width="11.42578125" style="10"/>
    <col min="4873" max="4873" width="19.85546875" style="10" customWidth="1"/>
    <col min="4874" max="4878" width="11.42578125" style="10"/>
    <col min="4879" max="4879" width="12.7109375" style="10" customWidth="1"/>
    <col min="4880" max="5118" width="11.42578125" style="10"/>
    <col min="5119" max="5119" width="8.85546875" style="10" customWidth="1"/>
    <col min="5120" max="5120" width="7" style="10" customWidth="1"/>
    <col min="5121" max="5121" width="41.28515625" style="10" customWidth="1"/>
    <col min="5122" max="5122" width="5.85546875" style="10" customWidth="1"/>
    <col min="5123" max="5123" width="7" style="10" customWidth="1"/>
    <col min="5124" max="5124" width="7.28515625" style="10" customWidth="1"/>
    <col min="5125" max="5125" width="7.140625" style="10" customWidth="1"/>
    <col min="5126" max="5127" width="6.85546875" style="10" customWidth="1"/>
    <col min="5128" max="5128" width="11.42578125" style="10"/>
    <col min="5129" max="5129" width="19.85546875" style="10" customWidth="1"/>
    <col min="5130" max="5134" width="11.42578125" style="10"/>
    <col min="5135" max="5135" width="12.7109375" style="10" customWidth="1"/>
    <col min="5136" max="5374" width="11.42578125" style="10"/>
    <col min="5375" max="5375" width="8.85546875" style="10" customWidth="1"/>
    <col min="5376" max="5376" width="7" style="10" customWidth="1"/>
    <col min="5377" max="5377" width="41.28515625" style="10" customWidth="1"/>
    <col min="5378" max="5378" width="5.85546875" style="10" customWidth="1"/>
    <col min="5379" max="5379" width="7" style="10" customWidth="1"/>
    <col min="5380" max="5380" width="7.28515625" style="10" customWidth="1"/>
    <col min="5381" max="5381" width="7.140625" style="10" customWidth="1"/>
    <col min="5382" max="5383" width="6.85546875" style="10" customWidth="1"/>
    <col min="5384" max="5384" width="11.42578125" style="10"/>
    <col min="5385" max="5385" width="19.85546875" style="10" customWidth="1"/>
    <col min="5386" max="5390" width="11.42578125" style="10"/>
    <col min="5391" max="5391" width="12.7109375" style="10" customWidth="1"/>
    <col min="5392" max="5630" width="11.42578125" style="10"/>
    <col min="5631" max="5631" width="8.85546875" style="10" customWidth="1"/>
    <col min="5632" max="5632" width="7" style="10" customWidth="1"/>
    <col min="5633" max="5633" width="41.28515625" style="10" customWidth="1"/>
    <col min="5634" max="5634" width="5.85546875" style="10" customWidth="1"/>
    <col min="5635" max="5635" width="7" style="10" customWidth="1"/>
    <col min="5636" max="5636" width="7.28515625" style="10" customWidth="1"/>
    <col min="5637" max="5637" width="7.140625" style="10" customWidth="1"/>
    <col min="5638" max="5639" width="6.85546875" style="10" customWidth="1"/>
    <col min="5640" max="5640" width="11.42578125" style="10"/>
    <col min="5641" max="5641" width="19.85546875" style="10" customWidth="1"/>
    <col min="5642" max="5646" width="11.42578125" style="10"/>
    <col min="5647" max="5647" width="12.7109375" style="10" customWidth="1"/>
    <col min="5648" max="5886" width="11.42578125" style="10"/>
    <col min="5887" max="5887" width="8.85546875" style="10" customWidth="1"/>
    <col min="5888" max="5888" width="7" style="10" customWidth="1"/>
    <col min="5889" max="5889" width="41.28515625" style="10" customWidth="1"/>
    <col min="5890" max="5890" width="5.85546875" style="10" customWidth="1"/>
    <col min="5891" max="5891" width="7" style="10" customWidth="1"/>
    <col min="5892" max="5892" width="7.28515625" style="10" customWidth="1"/>
    <col min="5893" max="5893" width="7.140625" style="10" customWidth="1"/>
    <col min="5894" max="5895" width="6.85546875" style="10" customWidth="1"/>
    <col min="5896" max="5896" width="11.42578125" style="10"/>
    <col min="5897" max="5897" width="19.85546875" style="10" customWidth="1"/>
    <col min="5898" max="5902" width="11.42578125" style="10"/>
    <col min="5903" max="5903" width="12.7109375" style="10" customWidth="1"/>
    <col min="5904" max="6142" width="11.42578125" style="10"/>
    <col min="6143" max="6143" width="8.85546875" style="10" customWidth="1"/>
    <col min="6144" max="6144" width="7" style="10" customWidth="1"/>
    <col min="6145" max="6145" width="41.28515625" style="10" customWidth="1"/>
    <col min="6146" max="6146" width="5.85546875" style="10" customWidth="1"/>
    <col min="6147" max="6147" width="7" style="10" customWidth="1"/>
    <col min="6148" max="6148" width="7.28515625" style="10" customWidth="1"/>
    <col min="6149" max="6149" width="7.140625" style="10" customWidth="1"/>
    <col min="6150" max="6151" width="6.85546875" style="10" customWidth="1"/>
    <col min="6152" max="6152" width="11.42578125" style="10"/>
    <col min="6153" max="6153" width="19.85546875" style="10" customWidth="1"/>
    <col min="6154" max="6158" width="11.42578125" style="10"/>
    <col min="6159" max="6159" width="12.7109375" style="10" customWidth="1"/>
    <col min="6160" max="6398" width="11.42578125" style="10"/>
    <col min="6399" max="6399" width="8.85546875" style="10" customWidth="1"/>
    <col min="6400" max="6400" width="7" style="10" customWidth="1"/>
    <col min="6401" max="6401" width="41.28515625" style="10" customWidth="1"/>
    <col min="6402" max="6402" width="5.85546875" style="10" customWidth="1"/>
    <col min="6403" max="6403" width="7" style="10" customWidth="1"/>
    <col min="6404" max="6404" width="7.28515625" style="10" customWidth="1"/>
    <col min="6405" max="6405" width="7.140625" style="10" customWidth="1"/>
    <col min="6406" max="6407" width="6.85546875" style="10" customWidth="1"/>
    <col min="6408" max="6408" width="11.42578125" style="10"/>
    <col min="6409" max="6409" width="19.85546875" style="10" customWidth="1"/>
    <col min="6410" max="6414" width="11.42578125" style="10"/>
    <col min="6415" max="6415" width="12.7109375" style="10" customWidth="1"/>
    <col min="6416" max="6654" width="11.42578125" style="10"/>
    <col min="6655" max="6655" width="8.85546875" style="10" customWidth="1"/>
    <col min="6656" max="6656" width="7" style="10" customWidth="1"/>
    <col min="6657" max="6657" width="41.28515625" style="10" customWidth="1"/>
    <col min="6658" max="6658" width="5.85546875" style="10" customWidth="1"/>
    <col min="6659" max="6659" width="7" style="10" customWidth="1"/>
    <col min="6660" max="6660" width="7.28515625" style="10" customWidth="1"/>
    <col min="6661" max="6661" width="7.140625" style="10" customWidth="1"/>
    <col min="6662" max="6663" width="6.85546875" style="10" customWidth="1"/>
    <col min="6664" max="6664" width="11.42578125" style="10"/>
    <col min="6665" max="6665" width="19.85546875" style="10" customWidth="1"/>
    <col min="6666" max="6670" width="11.42578125" style="10"/>
    <col min="6671" max="6671" width="12.7109375" style="10" customWidth="1"/>
    <col min="6672" max="6910" width="11.42578125" style="10"/>
    <col min="6911" max="6911" width="8.85546875" style="10" customWidth="1"/>
    <col min="6912" max="6912" width="7" style="10" customWidth="1"/>
    <col min="6913" max="6913" width="41.28515625" style="10" customWidth="1"/>
    <col min="6914" max="6914" width="5.85546875" style="10" customWidth="1"/>
    <col min="6915" max="6915" width="7" style="10" customWidth="1"/>
    <col min="6916" max="6916" width="7.28515625" style="10" customWidth="1"/>
    <col min="6917" max="6917" width="7.140625" style="10" customWidth="1"/>
    <col min="6918" max="6919" width="6.85546875" style="10" customWidth="1"/>
    <col min="6920" max="6920" width="11.42578125" style="10"/>
    <col min="6921" max="6921" width="19.85546875" style="10" customWidth="1"/>
    <col min="6922" max="6926" width="11.42578125" style="10"/>
    <col min="6927" max="6927" width="12.7109375" style="10" customWidth="1"/>
    <col min="6928" max="7166" width="11.42578125" style="10"/>
    <col min="7167" max="7167" width="8.85546875" style="10" customWidth="1"/>
    <col min="7168" max="7168" width="7" style="10" customWidth="1"/>
    <col min="7169" max="7169" width="41.28515625" style="10" customWidth="1"/>
    <col min="7170" max="7170" width="5.85546875" style="10" customWidth="1"/>
    <col min="7171" max="7171" width="7" style="10" customWidth="1"/>
    <col min="7172" max="7172" width="7.28515625" style="10" customWidth="1"/>
    <col min="7173" max="7173" width="7.140625" style="10" customWidth="1"/>
    <col min="7174" max="7175" width="6.85546875" style="10" customWidth="1"/>
    <col min="7176" max="7176" width="11.42578125" style="10"/>
    <col min="7177" max="7177" width="19.85546875" style="10" customWidth="1"/>
    <col min="7178" max="7182" width="11.42578125" style="10"/>
    <col min="7183" max="7183" width="12.7109375" style="10" customWidth="1"/>
    <col min="7184" max="7422" width="11.42578125" style="10"/>
    <col min="7423" max="7423" width="8.85546875" style="10" customWidth="1"/>
    <col min="7424" max="7424" width="7" style="10" customWidth="1"/>
    <col min="7425" max="7425" width="41.28515625" style="10" customWidth="1"/>
    <col min="7426" max="7426" width="5.85546875" style="10" customWidth="1"/>
    <col min="7427" max="7427" width="7" style="10" customWidth="1"/>
    <col min="7428" max="7428" width="7.28515625" style="10" customWidth="1"/>
    <col min="7429" max="7429" width="7.140625" style="10" customWidth="1"/>
    <col min="7430" max="7431" width="6.85546875" style="10" customWidth="1"/>
    <col min="7432" max="7432" width="11.42578125" style="10"/>
    <col min="7433" max="7433" width="19.85546875" style="10" customWidth="1"/>
    <col min="7434" max="7438" width="11.42578125" style="10"/>
    <col min="7439" max="7439" width="12.7109375" style="10" customWidth="1"/>
    <col min="7440" max="7678" width="11.42578125" style="10"/>
    <col min="7679" max="7679" width="8.85546875" style="10" customWidth="1"/>
    <col min="7680" max="7680" width="7" style="10" customWidth="1"/>
    <col min="7681" max="7681" width="41.28515625" style="10" customWidth="1"/>
    <col min="7682" max="7682" width="5.85546875" style="10" customWidth="1"/>
    <col min="7683" max="7683" width="7" style="10" customWidth="1"/>
    <col min="7684" max="7684" width="7.28515625" style="10" customWidth="1"/>
    <col min="7685" max="7685" width="7.140625" style="10" customWidth="1"/>
    <col min="7686" max="7687" width="6.85546875" style="10" customWidth="1"/>
    <col min="7688" max="7688" width="11.42578125" style="10"/>
    <col min="7689" max="7689" width="19.85546875" style="10" customWidth="1"/>
    <col min="7690" max="7694" width="11.42578125" style="10"/>
    <col min="7695" max="7695" width="12.7109375" style="10" customWidth="1"/>
    <col min="7696" max="7934" width="11.42578125" style="10"/>
    <col min="7935" max="7935" width="8.85546875" style="10" customWidth="1"/>
    <col min="7936" max="7936" width="7" style="10" customWidth="1"/>
    <col min="7937" max="7937" width="41.28515625" style="10" customWidth="1"/>
    <col min="7938" max="7938" width="5.85546875" style="10" customWidth="1"/>
    <col min="7939" max="7939" width="7" style="10" customWidth="1"/>
    <col min="7940" max="7940" width="7.28515625" style="10" customWidth="1"/>
    <col min="7941" max="7941" width="7.140625" style="10" customWidth="1"/>
    <col min="7942" max="7943" width="6.85546875" style="10" customWidth="1"/>
    <col min="7944" max="7944" width="11.42578125" style="10"/>
    <col min="7945" max="7945" width="19.85546875" style="10" customWidth="1"/>
    <col min="7946" max="7950" width="11.42578125" style="10"/>
    <col min="7951" max="7951" width="12.7109375" style="10" customWidth="1"/>
    <col min="7952" max="8190" width="11.42578125" style="10"/>
    <col min="8191" max="8191" width="8.85546875" style="10" customWidth="1"/>
    <col min="8192" max="8192" width="7" style="10" customWidth="1"/>
    <col min="8193" max="8193" width="41.28515625" style="10" customWidth="1"/>
    <col min="8194" max="8194" width="5.85546875" style="10" customWidth="1"/>
    <col min="8195" max="8195" width="7" style="10" customWidth="1"/>
    <col min="8196" max="8196" width="7.28515625" style="10" customWidth="1"/>
    <col min="8197" max="8197" width="7.140625" style="10" customWidth="1"/>
    <col min="8198" max="8199" width="6.85546875" style="10" customWidth="1"/>
    <col min="8200" max="8200" width="11.42578125" style="10"/>
    <col min="8201" max="8201" width="19.85546875" style="10" customWidth="1"/>
    <col min="8202" max="8206" width="11.42578125" style="10"/>
    <col min="8207" max="8207" width="12.7109375" style="10" customWidth="1"/>
    <col min="8208" max="8446" width="11.42578125" style="10"/>
    <col min="8447" max="8447" width="8.85546875" style="10" customWidth="1"/>
    <col min="8448" max="8448" width="7" style="10" customWidth="1"/>
    <col min="8449" max="8449" width="41.28515625" style="10" customWidth="1"/>
    <col min="8450" max="8450" width="5.85546875" style="10" customWidth="1"/>
    <col min="8451" max="8451" width="7" style="10" customWidth="1"/>
    <col min="8452" max="8452" width="7.28515625" style="10" customWidth="1"/>
    <col min="8453" max="8453" width="7.140625" style="10" customWidth="1"/>
    <col min="8454" max="8455" width="6.85546875" style="10" customWidth="1"/>
    <col min="8456" max="8456" width="11.42578125" style="10"/>
    <col min="8457" max="8457" width="19.85546875" style="10" customWidth="1"/>
    <col min="8458" max="8462" width="11.42578125" style="10"/>
    <col min="8463" max="8463" width="12.7109375" style="10" customWidth="1"/>
    <col min="8464" max="8702" width="11.42578125" style="10"/>
    <col min="8703" max="8703" width="8.85546875" style="10" customWidth="1"/>
    <col min="8704" max="8704" width="7" style="10" customWidth="1"/>
    <col min="8705" max="8705" width="41.28515625" style="10" customWidth="1"/>
    <col min="8706" max="8706" width="5.85546875" style="10" customWidth="1"/>
    <col min="8707" max="8707" width="7" style="10" customWidth="1"/>
    <col min="8708" max="8708" width="7.28515625" style="10" customWidth="1"/>
    <col min="8709" max="8709" width="7.140625" style="10" customWidth="1"/>
    <col min="8710" max="8711" width="6.85546875" style="10" customWidth="1"/>
    <col min="8712" max="8712" width="11.42578125" style="10"/>
    <col min="8713" max="8713" width="19.85546875" style="10" customWidth="1"/>
    <col min="8714" max="8718" width="11.42578125" style="10"/>
    <col min="8719" max="8719" width="12.7109375" style="10" customWidth="1"/>
    <col min="8720" max="8958" width="11.42578125" style="10"/>
    <col min="8959" max="8959" width="8.85546875" style="10" customWidth="1"/>
    <col min="8960" max="8960" width="7" style="10" customWidth="1"/>
    <col min="8961" max="8961" width="41.28515625" style="10" customWidth="1"/>
    <col min="8962" max="8962" width="5.85546875" style="10" customWidth="1"/>
    <col min="8963" max="8963" width="7" style="10" customWidth="1"/>
    <col min="8964" max="8964" width="7.28515625" style="10" customWidth="1"/>
    <col min="8965" max="8965" width="7.140625" style="10" customWidth="1"/>
    <col min="8966" max="8967" width="6.85546875" style="10" customWidth="1"/>
    <col min="8968" max="8968" width="11.42578125" style="10"/>
    <col min="8969" max="8969" width="19.85546875" style="10" customWidth="1"/>
    <col min="8970" max="8974" width="11.42578125" style="10"/>
    <col min="8975" max="8975" width="12.7109375" style="10" customWidth="1"/>
    <col min="8976" max="9214" width="11.42578125" style="10"/>
    <col min="9215" max="9215" width="8.85546875" style="10" customWidth="1"/>
    <col min="9216" max="9216" width="7" style="10" customWidth="1"/>
    <col min="9217" max="9217" width="41.28515625" style="10" customWidth="1"/>
    <col min="9218" max="9218" width="5.85546875" style="10" customWidth="1"/>
    <col min="9219" max="9219" width="7" style="10" customWidth="1"/>
    <col min="9220" max="9220" width="7.28515625" style="10" customWidth="1"/>
    <col min="9221" max="9221" width="7.140625" style="10" customWidth="1"/>
    <col min="9222" max="9223" width="6.85546875" style="10" customWidth="1"/>
    <col min="9224" max="9224" width="11.42578125" style="10"/>
    <col min="9225" max="9225" width="19.85546875" style="10" customWidth="1"/>
    <col min="9226" max="9230" width="11.42578125" style="10"/>
    <col min="9231" max="9231" width="12.7109375" style="10" customWidth="1"/>
    <col min="9232" max="9470" width="11.42578125" style="10"/>
    <col min="9471" max="9471" width="8.85546875" style="10" customWidth="1"/>
    <col min="9472" max="9472" width="7" style="10" customWidth="1"/>
    <col min="9473" max="9473" width="41.28515625" style="10" customWidth="1"/>
    <col min="9474" max="9474" width="5.85546875" style="10" customWidth="1"/>
    <col min="9475" max="9475" width="7" style="10" customWidth="1"/>
    <col min="9476" max="9476" width="7.28515625" style="10" customWidth="1"/>
    <col min="9477" max="9477" width="7.140625" style="10" customWidth="1"/>
    <col min="9478" max="9479" width="6.85546875" style="10" customWidth="1"/>
    <col min="9480" max="9480" width="11.42578125" style="10"/>
    <col min="9481" max="9481" width="19.85546875" style="10" customWidth="1"/>
    <col min="9482" max="9486" width="11.42578125" style="10"/>
    <col min="9487" max="9487" width="12.7109375" style="10" customWidth="1"/>
    <col min="9488" max="9726" width="11.42578125" style="10"/>
    <col min="9727" max="9727" width="8.85546875" style="10" customWidth="1"/>
    <col min="9728" max="9728" width="7" style="10" customWidth="1"/>
    <col min="9729" max="9729" width="41.28515625" style="10" customWidth="1"/>
    <col min="9730" max="9730" width="5.85546875" style="10" customWidth="1"/>
    <col min="9731" max="9731" width="7" style="10" customWidth="1"/>
    <col min="9732" max="9732" width="7.28515625" style="10" customWidth="1"/>
    <col min="9733" max="9733" width="7.140625" style="10" customWidth="1"/>
    <col min="9734" max="9735" width="6.85546875" style="10" customWidth="1"/>
    <col min="9736" max="9736" width="11.42578125" style="10"/>
    <col min="9737" max="9737" width="19.85546875" style="10" customWidth="1"/>
    <col min="9738" max="9742" width="11.42578125" style="10"/>
    <col min="9743" max="9743" width="12.7109375" style="10" customWidth="1"/>
    <col min="9744" max="9982" width="11.42578125" style="10"/>
    <col min="9983" max="9983" width="8.85546875" style="10" customWidth="1"/>
    <col min="9984" max="9984" width="7" style="10" customWidth="1"/>
    <col min="9985" max="9985" width="41.28515625" style="10" customWidth="1"/>
    <col min="9986" max="9986" width="5.85546875" style="10" customWidth="1"/>
    <col min="9987" max="9987" width="7" style="10" customWidth="1"/>
    <col min="9988" max="9988" width="7.28515625" style="10" customWidth="1"/>
    <col min="9989" max="9989" width="7.140625" style="10" customWidth="1"/>
    <col min="9990" max="9991" width="6.85546875" style="10" customWidth="1"/>
    <col min="9992" max="9992" width="11.42578125" style="10"/>
    <col min="9993" max="9993" width="19.85546875" style="10" customWidth="1"/>
    <col min="9994" max="9998" width="11.42578125" style="10"/>
    <col min="9999" max="9999" width="12.7109375" style="10" customWidth="1"/>
    <col min="10000" max="10238" width="11.42578125" style="10"/>
    <col min="10239" max="10239" width="8.85546875" style="10" customWidth="1"/>
    <col min="10240" max="10240" width="7" style="10" customWidth="1"/>
    <col min="10241" max="10241" width="41.28515625" style="10" customWidth="1"/>
    <col min="10242" max="10242" width="5.85546875" style="10" customWidth="1"/>
    <col min="10243" max="10243" width="7" style="10" customWidth="1"/>
    <col min="10244" max="10244" width="7.28515625" style="10" customWidth="1"/>
    <col min="10245" max="10245" width="7.140625" style="10" customWidth="1"/>
    <col min="10246" max="10247" width="6.85546875" style="10" customWidth="1"/>
    <col min="10248" max="10248" width="11.42578125" style="10"/>
    <col min="10249" max="10249" width="19.85546875" style="10" customWidth="1"/>
    <col min="10250" max="10254" width="11.42578125" style="10"/>
    <col min="10255" max="10255" width="12.7109375" style="10" customWidth="1"/>
    <col min="10256" max="10494" width="11.42578125" style="10"/>
    <col min="10495" max="10495" width="8.85546875" style="10" customWidth="1"/>
    <col min="10496" max="10496" width="7" style="10" customWidth="1"/>
    <col min="10497" max="10497" width="41.28515625" style="10" customWidth="1"/>
    <col min="10498" max="10498" width="5.85546875" style="10" customWidth="1"/>
    <col min="10499" max="10499" width="7" style="10" customWidth="1"/>
    <col min="10500" max="10500" width="7.28515625" style="10" customWidth="1"/>
    <col min="10501" max="10501" width="7.140625" style="10" customWidth="1"/>
    <col min="10502" max="10503" width="6.85546875" style="10" customWidth="1"/>
    <col min="10504" max="10504" width="11.42578125" style="10"/>
    <col min="10505" max="10505" width="19.85546875" style="10" customWidth="1"/>
    <col min="10506" max="10510" width="11.42578125" style="10"/>
    <col min="10511" max="10511" width="12.7109375" style="10" customWidth="1"/>
    <col min="10512" max="10750" width="11.42578125" style="10"/>
    <col min="10751" max="10751" width="8.85546875" style="10" customWidth="1"/>
    <col min="10752" max="10752" width="7" style="10" customWidth="1"/>
    <col min="10753" max="10753" width="41.28515625" style="10" customWidth="1"/>
    <col min="10754" max="10754" width="5.85546875" style="10" customWidth="1"/>
    <col min="10755" max="10755" width="7" style="10" customWidth="1"/>
    <col min="10756" max="10756" width="7.28515625" style="10" customWidth="1"/>
    <col min="10757" max="10757" width="7.140625" style="10" customWidth="1"/>
    <col min="10758" max="10759" width="6.85546875" style="10" customWidth="1"/>
    <col min="10760" max="10760" width="11.42578125" style="10"/>
    <col min="10761" max="10761" width="19.85546875" style="10" customWidth="1"/>
    <col min="10762" max="10766" width="11.42578125" style="10"/>
    <col min="10767" max="10767" width="12.7109375" style="10" customWidth="1"/>
    <col min="10768" max="11006" width="11.42578125" style="10"/>
    <col min="11007" max="11007" width="8.85546875" style="10" customWidth="1"/>
    <col min="11008" max="11008" width="7" style="10" customWidth="1"/>
    <col min="11009" max="11009" width="41.28515625" style="10" customWidth="1"/>
    <col min="11010" max="11010" width="5.85546875" style="10" customWidth="1"/>
    <col min="11011" max="11011" width="7" style="10" customWidth="1"/>
    <col min="11012" max="11012" width="7.28515625" style="10" customWidth="1"/>
    <col min="11013" max="11013" width="7.140625" style="10" customWidth="1"/>
    <col min="11014" max="11015" width="6.85546875" style="10" customWidth="1"/>
    <col min="11016" max="11016" width="11.42578125" style="10"/>
    <col min="11017" max="11017" width="19.85546875" style="10" customWidth="1"/>
    <col min="11018" max="11022" width="11.42578125" style="10"/>
    <col min="11023" max="11023" width="12.7109375" style="10" customWidth="1"/>
    <col min="11024" max="11262" width="11.42578125" style="10"/>
    <col min="11263" max="11263" width="8.85546875" style="10" customWidth="1"/>
    <col min="11264" max="11264" width="7" style="10" customWidth="1"/>
    <col min="11265" max="11265" width="41.28515625" style="10" customWidth="1"/>
    <col min="11266" max="11266" width="5.85546875" style="10" customWidth="1"/>
    <col min="11267" max="11267" width="7" style="10" customWidth="1"/>
    <col min="11268" max="11268" width="7.28515625" style="10" customWidth="1"/>
    <col min="11269" max="11269" width="7.140625" style="10" customWidth="1"/>
    <col min="11270" max="11271" width="6.85546875" style="10" customWidth="1"/>
    <col min="11272" max="11272" width="11.42578125" style="10"/>
    <col min="11273" max="11273" width="19.85546875" style="10" customWidth="1"/>
    <col min="11274" max="11278" width="11.42578125" style="10"/>
    <col min="11279" max="11279" width="12.7109375" style="10" customWidth="1"/>
    <col min="11280" max="11518" width="11.42578125" style="10"/>
    <col min="11519" max="11519" width="8.85546875" style="10" customWidth="1"/>
    <col min="11520" max="11520" width="7" style="10" customWidth="1"/>
    <col min="11521" max="11521" width="41.28515625" style="10" customWidth="1"/>
    <col min="11522" max="11522" width="5.85546875" style="10" customWidth="1"/>
    <col min="11523" max="11523" width="7" style="10" customWidth="1"/>
    <col min="11524" max="11524" width="7.28515625" style="10" customWidth="1"/>
    <col min="11525" max="11525" width="7.140625" style="10" customWidth="1"/>
    <col min="11526" max="11527" width="6.85546875" style="10" customWidth="1"/>
    <col min="11528" max="11528" width="11.42578125" style="10"/>
    <col min="11529" max="11529" width="19.85546875" style="10" customWidth="1"/>
    <col min="11530" max="11534" width="11.42578125" style="10"/>
    <col min="11535" max="11535" width="12.7109375" style="10" customWidth="1"/>
    <col min="11536" max="11774" width="11.42578125" style="10"/>
    <col min="11775" max="11775" width="8.85546875" style="10" customWidth="1"/>
    <col min="11776" max="11776" width="7" style="10" customWidth="1"/>
    <col min="11777" max="11777" width="41.28515625" style="10" customWidth="1"/>
    <col min="11778" max="11778" width="5.85546875" style="10" customWidth="1"/>
    <col min="11779" max="11779" width="7" style="10" customWidth="1"/>
    <col min="11780" max="11780" width="7.28515625" style="10" customWidth="1"/>
    <col min="11781" max="11781" width="7.140625" style="10" customWidth="1"/>
    <col min="11782" max="11783" width="6.85546875" style="10" customWidth="1"/>
    <col min="11784" max="11784" width="11.42578125" style="10"/>
    <col min="11785" max="11785" width="19.85546875" style="10" customWidth="1"/>
    <col min="11786" max="11790" width="11.42578125" style="10"/>
    <col min="11791" max="11791" width="12.7109375" style="10" customWidth="1"/>
    <col min="11792" max="12030" width="11.42578125" style="10"/>
    <col min="12031" max="12031" width="8.85546875" style="10" customWidth="1"/>
    <col min="12032" max="12032" width="7" style="10" customWidth="1"/>
    <col min="12033" max="12033" width="41.28515625" style="10" customWidth="1"/>
    <col min="12034" max="12034" width="5.85546875" style="10" customWidth="1"/>
    <col min="12035" max="12035" width="7" style="10" customWidth="1"/>
    <col min="12036" max="12036" width="7.28515625" style="10" customWidth="1"/>
    <col min="12037" max="12037" width="7.140625" style="10" customWidth="1"/>
    <col min="12038" max="12039" width="6.85546875" style="10" customWidth="1"/>
    <col min="12040" max="12040" width="11.42578125" style="10"/>
    <col min="12041" max="12041" width="19.85546875" style="10" customWidth="1"/>
    <col min="12042" max="12046" width="11.42578125" style="10"/>
    <col min="12047" max="12047" width="12.7109375" style="10" customWidth="1"/>
    <col min="12048" max="12286" width="11.42578125" style="10"/>
    <col min="12287" max="12287" width="8.85546875" style="10" customWidth="1"/>
    <col min="12288" max="12288" width="7" style="10" customWidth="1"/>
    <col min="12289" max="12289" width="41.28515625" style="10" customWidth="1"/>
    <col min="12290" max="12290" width="5.85546875" style="10" customWidth="1"/>
    <col min="12291" max="12291" width="7" style="10" customWidth="1"/>
    <col min="12292" max="12292" width="7.28515625" style="10" customWidth="1"/>
    <col min="12293" max="12293" width="7.140625" style="10" customWidth="1"/>
    <col min="12294" max="12295" width="6.85546875" style="10" customWidth="1"/>
    <col min="12296" max="12296" width="11.42578125" style="10"/>
    <col min="12297" max="12297" width="19.85546875" style="10" customWidth="1"/>
    <col min="12298" max="12302" width="11.42578125" style="10"/>
    <col min="12303" max="12303" width="12.7109375" style="10" customWidth="1"/>
    <col min="12304" max="12542" width="11.42578125" style="10"/>
    <col min="12543" max="12543" width="8.85546875" style="10" customWidth="1"/>
    <col min="12544" max="12544" width="7" style="10" customWidth="1"/>
    <col min="12545" max="12545" width="41.28515625" style="10" customWidth="1"/>
    <col min="12546" max="12546" width="5.85546875" style="10" customWidth="1"/>
    <col min="12547" max="12547" width="7" style="10" customWidth="1"/>
    <col min="12548" max="12548" width="7.28515625" style="10" customWidth="1"/>
    <col min="12549" max="12549" width="7.140625" style="10" customWidth="1"/>
    <col min="12550" max="12551" width="6.85546875" style="10" customWidth="1"/>
    <col min="12552" max="12552" width="11.42578125" style="10"/>
    <col min="12553" max="12553" width="19.85546875" style="10" customWidth="1"/>
    <col min="12554" max="12558" width="11.42578125" style="10"/>
    <col min="12559" max="12559" width="12.7109375" style="10" customWidth="1"/>
    <col min="12560" max="12798" width="11.42578125" style="10"/>
    <col min="12799" max="12799" width="8.85546875" style="10" customWidth="1"/>
    <col min="12800" max="12800" width="7" style="10" customWidth="1"/>
    <col min="12801" max="12801" width="41.28515625" style="10" customWidth="1"/>
    <col min="12802" max="12802" width="5.85546875" style="10" customWidth="1"/>
    <col min="12803" max="12803" width="7" style="10" customWidth="1"/>
    <col min="12804" max="12804" width="7.28515625" style="10" customWidth="1"/>
    <col min="12805" max="12805" width="7.140625" style="10" customWidth="1"/>
    <col min="12806" max="12807" width="6.85546875" style="10" customWidth="1"/>
    <col min="12808" max="12808" width="11.42578125" style="10"/>
    <col min="12809" max="12809" width="19.85546875" style="10" customWidth="1"/>
    <col min="12810" max="12814" width="11.42578125" style="10"/>
    <col min="12815" max="12815" width="12.7109375" style="10" customWidth="1"/>
    <col min="12816" max="13054" width="11.42578125" style="10"/>
    <col min="13055" max="13055" width="8.85546875" style="10" customWidth="1"/>
    <col min="13056" max="13056" width="7" style="10" customWidth="1"/>
    <col min="13057" max="13057" width="41.28515625" style="10" customWidth="1"/>
    <col min="13058" max="13058" width="5.85546875" style="10" customWidth="1"/>
    <col min="13059" max="13059" width="7" style="10" customWidth="1"/>
    <col min="13060" max="13060" width="7.28515625" style="10" customWidth="1"/>
    <col min="13061" max="13061" width="7.140625" style="10" customWidth="1"/>
    <col min="13062" max="13063" width="6.85546875" style="10" customWidth="1"/>
    <col min="13064" max="13064" width="11.42578125" style="10"/>
    <col min="13065" max="13065" width="19.85546875" style="10" customWidth="1"/>
    <col min="13066" max="13070" width="11.42578125" style="10"/>
    <col min="13071" max="13071" width="12.7109375" style="10" customWidth="1"/>
    <col min="13072" max="13310" width="11.42578125" style="10"/>
    <col min="13311" max="13311" width="8.85546875" style="10" customWidth="1"/>
    <col min="13312" max="13312" width="7" style="10" customWidth="1"/>
    <col min="13313" max="13313" width="41.28515625" style="10" customWidth="1"/>
    <col min="13314" max="13314" width="5.85546875" style="10" customWidth="1"/>
    <col min="13315" max="13315" width="7" style="10" customWidth="1"/>
    <col min="13316" max="13316" width="7.28515625" style="10" customWidth="1"/>
    <col min="13317" max="13317" width="7.140625" style="10" customWidth="1"/>
    <col min="13318" max="13319" width="6.85546875" style="10" customWidth="1"/>
    <col min="13320" max="13320" width="11.42578125" style="10"/>
    <col min="13321" max="13321" width="19.85546875" style="10" customWidth="1"/>
    <col min="13322" max="13326" width="11.42578125" style="10"/>
    <col min="13327" max="13327" width="12.7109375" style="10" customWidth="1"/>
    <col min="13328" max="13566" width="11.42578125" style="10"/>
    <col min="13567" max="13567" width="8.85546875" style="10" customWidth="1"/>
    <col min="13568" max="13568" width="7" style="10" customWidth="1"/>
    <col min="13569" max="13569" width="41.28515625" style="10" customWidth="1"/>
    <col min="13570" max="13570" width="5.85546875" style="10" customWidth="1"/>
    <col min="13571" max="13571" width="7" style="10" customWidth="1"/>
    <col min="13572" max="13572" width="7.28515625" style="10" customWidth="1"/>
    <col min="13573" max="13573" width="7.140625" style="10" customWidth="1"/>
    <col min="13574" max="13575" width="6.85546875" style="10" customWidth="1"/>
    <col min="13576" max="13576" width="11.42578125" style="10"/>
    <col min="13577" max="13577" width="19.85546875" style="10" customWidth="1"/>
    <col min="13578" max="13582" width="11.42578125" style="10"/>
    <col min="13583" max="13583" width="12.7109375" style="10" customWidth="1"/>
    <col min="13584" max="13822" width="11.42578125" style="10"/>
    <col min="13823" max="13823" width="8.85546875" style="10" customWidth="1"/>
    <col min="13824" max="13824" width="7" style="10" customWidth="1"/>
    <col min="13825" max="13825" width="41.28515625" style="10" customWidth="1"/>
    <col min="13826" max="13826" width="5.85546875" style="10" customWidth="1"/>
    <col min="13827" max="13827" width="7" style="10" customWidth="1"/>
    <col min="13828" max="13828" width="7.28515625" style="10" customWidth="1"/>
    <col min="13829" max="13829" width="7.140625" style="10" customWidth="1"/>
    <col min="13830" max="13831" width="6.85546875" style="10" customWidth="1"/>
    <col min="13832" max="13832" width="11.42578125" style="10"/>
    <col min="13833" max="13833" width="19.85546875" style="10" customWidth="1"/>
    <col min="13834" max="13838" width="11.42578125" style="10"/>
    <col min="13839" max="13839" width="12.7109375" style="10" customWidth="1"/>
    <col min="13840" max="14078" width="11.42578125" style="10"/>
    <col min="14079" max="14079" width="8.85546875" style="10" customWidth="1"/>
    <col min="14080" max="14080" width="7" style="10" customWidth="1"/>
    <col min="14081" max="14081" width="41.28515625" style="10" customWidth="1"/>
    <col min="14082" max="14082" width="5.85546875" style="10" customWidth="1"/>
    <col min="14083" max="14083" width="7" style="10" customWidth="1"/>
    <col min="14084" max="14084" width="7.28515625" style="10" customWidth="1"/>
    <col min="14085" max="14085" width="7.140625" style="10" customWidth="1"/>
    <col min="14086" max="14087" width="6.85546875" style="10" customWidth="1"/>
    <col min="14088" max="14088" width="11.42578125" style="10"/>
    <col min="14089" max="14089" width="19.85546875" style="10" customWidth="1"/>
    <col min="14090" max="14094" width="11.42578125" style="10"/>
    <col min="14095" max="14095" width="12.7109375" style="10" customWidth="1"/>
    <col min="14096" max="14334" width="11.42578125" style="10"/>
    <col min="14335" max="14335" width="8.85546875" style="10" customWidth="1"/>
    <col min="14336" max="14336" width="7" style="10" customWidth="1"/>
    <col min="14337" max="14337" width="41.28515625" style="10" customWidth="1"/>
    <col min="14338" max="14338" width="5.85546875" style="10" customWidth="1"/>
    <col min="14339" max="14339" width="7" style="10" customWidth="1"/>
    <col min="14340" max="14340" width="7.28515625" style="10" customWidth="1"/>
    <col min="14341" max="14341" width="7.140625" style="10" customWidth="1"/>
    <col min="14342" max="14343" width="6.85546875" style="10" customWidth="1"/>
    <col min="14344" max="14344" width="11.42578125" style="10"/>
    <col min="14345" max="14345" width="19.85546875" style="10" customWidth="1"/>
    <col min="14346" max="14350" width="11.42578125" style="10"/>
    <col min="14351" max="14351" width="12.7109375" style="10" customWidth="1"/>
    <col min="14352" max="14590" width="11.42578125" style="10"/>
    <col min="14591" max="14591" width="8.85546875" style="10" customWidth="1"/>
    <col min="14592" max="14592" width="7" style="10" customWidth="1"/>
    <col min="14593" max="14593" width="41.28515625" style="10" customWidth="1"/>
    <col min="14594" max="14594" width="5.85546875" style="10" customWidth="1"/>
    <col min="14595" max="14595" width="7" style="10" customWidth="1"/>
    <col min="14596" max="14596" width="7.28515625" style="10" customWidth="1"/>
    <col min="14597" max="14597" width="7.140625" style="10" customWidth="1"/>
    <col min="14598" max="14599" width="6.85546875" style="10" customWidth="1"/>
    <col min="14600" max="14600" width="11.42578125" style="10"/>
    <col min="14601" max="14601" width="19.85546875" style="10" customWidth="1"/>
    <col min="14602" max="14606" width="11.42578125" style="10"/>
    <col min="14607" max="14607" width="12.7109375" style="10" customWidth="1"/>
    <col min="14608" max="14846" width="11.42578125" style="10"/>
    <col min="14847" max="14847" width="8.85546875" style="10" customWidth="1"/>
    <col min="14848" max="14848" width="7" style="10" customWidth="1"/>
    <col min="14849" max="14849" width="41.28515625" style="10" customWidth="1"/>
    <col min="14850" max="14850" width="5.85546875" style="10" customWidth="1"/>
    <col min="14851" max="14851" width="7" style="10" customWidth="1"/>
    <col min="14852" max="14852" width="7.28515625" style="10" customWidth="1"/>
    <col min="14853" max="14853" width="7.140625" style="10" customWidth="1"/>
    <col min="14854" max="14855" width="6.85546875" style="10" customWidth="1"/>
    <col min="14856" max="14856" width="11.42578125" style="10"/>
    <col min="14857" max="14857" width="19.85546875" style="10" customWidth="1"/>
    <col min="14858" max="14862" width="11.42578125" style="10"/>
    <col min="14863" max="14863" width="12.7109375" style="10" customWidth="1"/>
    <col min="14864" max="15102" width="11.42578125" style="10"/>
    <col min="15103" max="15103" width="8.85546875" style="10" customWidth="1"/>
    <col min="15104" max="15104" width="7" style="10" customWidth="1"/>
    <col min="15105" max="15105" width="41.28515625" style="10" customWidth="1"/>
    <col min="15106" max="15106" width="5.85546875" style="10" customWidth="1"/>
    <col min="15107" max="15107" width="7" style="10" customWidth="1"/>
    <col min="15108" max="15108" width="7.28515625" style="10" customWidth="1"/>
    <col min="15109" max="15109" width="7.140625" style="10" customWidth="1"/>
    <col min="15110" max="15111" width="6.85546875" style="10" customWidth="1"/>
    <col min="15112" max="15112" width="11.42578125" style="10"/>
    <col min="15113" max="15113" width="19.85546875" style="10" customWidth="1"/>
    <col min="15114" max="15118" width="11.42578125" style="10"/>
    <col min="15119" max="15119" width="12.7109375" style="10" customWidth="1"/>
    <col min="15120" max="15358" width="11.42578125" style="10"/>
    <col min="15359" max="15359" width="8.85546875" style="10" customWidth="1"/>
    <col min="15360" max="15360" width="7" style="10" customWidth="1"/>
    <col min="15361" max="15361" width="41.28515625" style="10" customWidth="1"/>
    <col min="15362" max="15362" width="5.85546875" style="10" customWidth="1"/>
    <col min="15363" max="15363" width="7" style="10" customWidth="1"/>
    <col min="15364" max="15364" width="7.28515625" style="10" customWidth="1"/>
    <col min="15365" max="15365" width="7.140625" style="10" customWidth="1"/>
    <col min="15366" max="15367" width="6.85546875" style="10" customWidth="1"/>
    <col min="15368" max="15368" width="11.42578125" style="10"/>
    <col min="15369" max="15369" width="19.85546875" style="10" customWidth="1"/>
    <col min="15370" max="15374" width="11.42578125" style="10"/>
    <col min="15375" max="15375" width="12.7109375" style="10" customWidth="1"/>
    <col min="15376" max="15614" width="11.42578125" style="10"/>
    <col min="15615" max="15615" width="8.85546875" style="10" customWidth="1"/>
    <col min="15616" max="15616" width="7" style="10" customWidth="1"/>
    <col min="15617" max="15617" width="41.28515625" style="10" customWidth="1"/>
    <col min="15618" max="15618" width="5.85546875" style="10" customWidth="1"/>
    <col min="15619" max="15619" width="7" style="10" customWidth="1"/>
    <col min="15620" max="15620" width="7.28515625" style="10" customWidth="1"/>
    <col min="15621" max="15621" width="7.140625" style="10" customWidth="1"/>
    <col min="15622" max="15623" width="6.85546875" style="10" customWidth="1"/>
    <col min="15624" max="15624" width="11.42578125" style="10"/>
    <col min="15625" max="15625" width="19.85546875" style="10" customWidth="1"/>
    <col min="15626" max="15630" width="11.42578125" style="10"/>
    <col min="15631" max="15631" width="12.7109375" style="10" customWidth="1"/>
    <col min="15632" max="15870" width="11.42578125" style="10"/>
    <col min="15871" max="15871" width="8.85546875" style="10" customWidth="1"/>
    <col min="15872" max="15872" width="7" style="10" customWidth="1"/>
    <col min="15873" max="15873" width="41.28515625" style="10" customWidth="1"/>
    <col min="15874" max="15874" width="5.85546875" style="10" customWidth="1"/>
    <col min="15875" max="15875" width="7" style="10" customWidth="1"/>
    <col min="15876" max="15876" width="7.28515625" style="10" customWidth="1"/>
    <col min="15877" max="15877" width="7.140625" style="10" customWidth="1"/>
    <col min="15878" max="15879" width="6.85546875" style="10" customWidth="1"/>
    <col min="15880" max="15880" width="11.42578125" style="10"/>
    <col min="15881" max="15881" width="19.85546875" style="10" customWidth="1"/>
    <col min="15882" max="15886" width="11.42578125" style="10"/>
    <col min="15887" max="15887" width="12.7109375" style="10" customWidth="1"/>
    <col min="15888" max="16126" width="11.42578125" style="10"/>
    <col min="16127" max="16127" width="8.85546875" style="10" customWidth="1"/>
    <col min="16128" max="16128" width="7" style="10" customWidth="1"/>
    <col min="16129" max="16129" width="41.28515625" style="10" customWidth="1"/>
    <col min="16130" max="16130" width="5.85546875" style="10" customWidth="1"/>
    <col min="16131" max="16131" width="7" style="10" customWidth="1"/>
    <col min="16132" max="16132" width="7.28515625" style="10" customWidth="1"/>
    <col min="16133" max="16133" width="7.140625" style="10" customWidth="1"/>
    <col min="16134" max="16135" width="6.85546875" style="10" customWidth="1"/>
    <col min="16136" max="16136" width="11.42578125" style="10"/>
    <col min="16137" max="16137" width="19.85546875" style="10" customWidth="1"/>
    <col min="16138" max="16142" width="11.42578125" style="10"/>
    <col min="16143" max="16143" width="12.7109375" style="10" customWidth="1"/>
    <col min="16144" max="16384" width="11.42578125" style="10"/>
  </cols>
  <sheetData>
    <row r="1" spans="1:15" ht="45.75" thickBot="1" x14ac:dyDescent="0.3">
      <c r="A1" s="9"/>
      <c r="C1" s="11"/>
      <c r="D1" s="12"/>
      <c r="E1" s="12"/>
      <c r="I1" s="13" t="s">
        <v>24</v>
      </c>
    </row>
    <row r="2" spans="1:15" ht="36.75" customHeight="1" thickBot="1" x14ac:dyDescent="0.3">
      <c r="A2" s="9"/>
      <c r="C2" s="14" t="s">
        <v>46</v>
      </c>
      <c r="D2" s="68" t="s">
        <v>25</v>
      </c>
      <c r="E2" s="70" t="s">
        <v>26</v>
      </c>
      <c r="F2" s="57" t="s">
        <v>27</v>
      </c>
      <c r="G2" s="57" t="s">
        <v>27</v>
      </c>
      <c r="I2" s="37" t="s">
        <v>43</v>
      </c>
    </row>
    <row r="3" spans="1:15" ht="15.75" thickBot="1" x14ac:dyDescent="0.3">
      <c r="A3" s="19"/>
      <c r="C3" s="24" t="str">
        <f>'MATH Synthèse élève'!I2</f>
        <v>Elève1</v>
      </c>
      <c r="D3" s="69"/>
      <c r="E3" s="69"/>
      <c r="F3" s="58"/>
      <c r="G3" s="75"/>
      <c r="I3" s="31" t="str">
        <f>'Liste élèves'!C9</f>
        <v>Elève1</v>
      </c>
    </row>
    <row r="4" spans="1:15" ht="17.25" customHeight="1" thickBot="1" x14ac:dyDescent="0.3">
      <c r="A4" s="20"/>
      <c r="B4" s="20"/>
      <c r="C4" s="80" t="s">
        <v>40</v>
      </c>
      <c r="D4" s="25">
        <v>1</v>
      </c>
      <c r="E4" s="33">
        <f>VLOOKUP($I$2,'Saisie résultats'!$C$9:$EO$18,71,0)</f>
        <v>0</v>
      </c>
      <c r="F4" s="76">
        <f>COUNTIF(E4:E47,1)/COUNTIF(E4:E47,"&lt;10")</f>
        <v>0</v>
      </c>
      <c r="G4" s="77">
        <f>COUNTIF(E4:E76,1)/COUNTIF(E4:E76,"&lt;10")</f>
        <v>0</v>
      </c>
      <c r="I4" s="31" t="str">
        <f>'Liste élèves'!C10</f>
        <v>Elève2</v>
      </c>
      <c r="K4" s="43" t="s">
        <v>39</v>
      </c>
      <c r="L4" s="43" t="s">
        <v>41</v>
      </c>
      <c r="M4" s="43" t="s">
        <v>42</v>
      </c>
      <c r="N4" s="34"/>
      <c r="O4" s="17"/>
    </row>
    <row r="5" spans="1:15" ht="15.75" thickBot="1" x14ac:dyDescent="0.3">
      <c r="A5" s="20"/>
      <c r="B5" s="20"/>
      <c r="C5" s="81"/>
      <c r="D5" s="26">
        <v>2</v>
      </c>
      <c r="E5" s="33">
        <f>VLOOKUP($I$2,'Saisie résultats'!$C$9:$EO$18,72,0)</f>
        <v>0</v>
      </c>
      <c r="F5" s="76"/>
      <c r="G5" s="78"/>
      <c r="I5" s="31" t="str">
        <f>'Liste élèves'!C11</f>
        <v>Elève3</v>
      </c>
      <c r="K5" s="15">
        <f>COUNTIF(E4:E47,1)/COUNTIF(E4:E47,"&lt;10")</f>
        <v>0</v>
      </c>
      <c r="L5" s="15">
        <f>COUNTIF(E48:E64,1)/COUNTIF(E48:E64,"&lt;10")</f>
        <v>0</v>
      </c>
      <c r="M5" s="15">
        <f>COUNTIF(E65:E76,1)/COUNTIF(E65:E76,"&lt;10")</f>
        <v>0</v>
      </c>
      <c r="N5" s="18"/>
      <c r="O5" s="18"/>
    </row>
    <row r="6" spans="1:15" ht="15.75" customHeight="1" thickBot="1" x14ac:dyDescent="0.3">
      <c r="A6" s="20"/>
      <c r="B6" s="20"/>
      <c r="C6" s="81"/>
      <c r="D6" s="26">
        <v>3</v>
      </c>
      <c r="E6" s="33">
        <f>VLOOKUP($I$2,'Saisie résultats'!$C$9:$EO$18,73,0)</f>
        <v>0</v>
      </c>
      <c r="F6" s="76"/>
      <c r="G6" s="78"/>
      <c r="I6" s="31" t="str">
        <f>'Liste élèves'!C12</f>
        <v>Elève4</v>
      </c>
    </row>
    <row r="7" spans="1:15" ht="15.75" thickBot="1" x14ac:dyDescent="0.3">
      <c r="A7" s="20"/>
      <c r="B7" s="20"/>
      <c r="C7" s="81"/>
      <c r="D7" s="26">
        <v>4</v>
      </c>
      <c r="E7" s="33">
        <f>VLOOKUP($I$2,'Saisie résultats'!$C$9:$EO$18,74,0)</f>
        <v>0</v>
      </c>
      <c r="F7" s="76"/>
      <c r="G7" s="78"/>
      <c r="I7" s="31" t="str">
        <f>'Liste élèves'!C13</f>
        <v>Elève5</v>
      </c>
    </row>
    <row r="8" spans="1:15" ht="15.75" thickBot="1" x14ac:dyDescent="0.3">
      <c r="A8" s="20"/>
      <c r="B8" s="20"/>
      <c r="C8" s="81"/>
      <c r="D8" s="26">
        <v>5</v>
      </c>
      <c r="E8" s="33">
        <f>VLOOKUP($I$2,'Saisie résultats'!$C$9:$EO$18,75,0)</f>
        <v>0</v>
      </c>
      <c r="F8" s="76"/>
      <c r="G8" s="78"/>
      <c r="I8" s="31" t="str">
        <f>'Liste élèves'!C14</f>
        <v>Elève6</v>
      </c>
    </row>
    <row r="9" spans="1:15" ht="15.75" customHeight="1" thickBot="1" x14ac:dyDescent="0.3">
      <c r="A9" s="20"/>
      <c r="B9" s="20"/>
      <c r="C9" s="81"/>
      <c r="D9" s="26">
        <v>6</v>
      </c>
      <c r="E9" s="33">
        <f>VLOOKUP($I$2,'Saisie résultats'!$C$9:$EO$18,76,0)</f>
        <v>0</v>
      </c>
      <c r="F9" s="76"/>
      <c r="G9" s="78"/>
      <c r="I9" s="31" t="str">
        <f>'Liste élèves'!C15</f>
        <v>Elève7</v>
      </c>
    </row>
    <row r="10" spans="1:15" ht="15.75" customHeight="1" thickBot="1" x14ac:dyDescent="0.3">
      <c r="A10" s="20"/>
      <c r="B10" s="20"/>
      <c r="C10" s="81"/>
      <c r="D10" s="26">
        <v>7</v>
      </c>
      <c r="E10" s="33">
        <f>VLOOKUP($I$2,'Saisie résultats'!$C$9:$EO$18,77,0)</f>
        <v>0</v>
      </c>
      <c r="F10" s="76"/>
      <c r="G10" s="78"/>
      <c r="I10" s="31" t="str">
        <f>'Liste élèves'!C16</f>
        <v>Elève8</v>
      </c>
    </row>
    <row r="11" spans="1:15" ht="15.75" customHeight="1" thickBot="1" x14ac:dyDescent="0.3">
      <c r="A11" s="20"/>
      <c r="B11" s="20"/>
      <c r="C11" s="81"/>
      <c r="D11" s="26">
        <v>8</v>
      </c>
      <c r="E11" s="33">
        <f>VLOOKUP($I$2,'Saisie résultats'!$C$9:$EO$18,78,0)</f>
        <v>0</v>
      </c>
      <c r="F11" s="76"/>
      <c r="G11" s="78"/>
      <c r="I11" s="31" t="str">
        <f>'Liste élèves'!C17</f>
        <v>Elève9</v>
      </c>
    </row>
    <row r="12" spans="1:15" ht="15.75" customHeight="1" thickBot="1" x14ac:dyDescent="0.3">
      <c r="A12" s="20"/>
      <c r="B12" s="20"/>
      <c r="C12" s="81"/>
      <c r="D12" s="26">
        <v>9</v>
      </c>
      <c r="E12" s="33">
        <f>VLOOKUP($I$2,'Saisie résultats'!$C$9:$EO$18,79,0)</f>
        <v>0</v>
      </c>
      <c r="F12" s="76"/>
      <c r="G12" s="78"/>
      <c r="I12" s="31" t="str">
        <f>'Liste élèves'!C18</f>
        <v>Elève10</v>
      </c>
    </row>
    <row r="13" spans="1:15" ht="15.75" customHeight="1" thickBot="1" x14ac:dyDescent="0.3">
      <c r="A13" s="20"/>
      <c r="B13" s="20"/>
      <c r="C13" s="81"/>
      <c r="D13" s="26">
        <v>10</v>
      </c>
      <c r="E13" s="33">
        <f>VLOOKUP($I$2,'Saisie résultats'!$C$9:$EO$18,80,0)</f>
        <v>0</v>
      </c>
      <c r="F13" s="76"/>
      <c r="G13" s="78"/>
      <c r="I13" s="31"/>
    </row>
    <row r="14" spans="1:15" ht="15.75" customHeight="1" thickBot="1" x14ac:dyDescent="0.3">
      <c r="A14" s="20"/>
      <c r="B14" s="20"/>
      <c r="C14" s="81"/>
      <c r="D14" s="26">
        <v>11</v>
      </c>
      <c r="E14" s="33">
        <f>VLOOKUP($I$2,'Saisie résultats'!$C$9:$EO$18,81,0)</f>
        <v>0</v>
      </c>
      <c r="F14" s="76"/>
      <c r="G14" s="78"/>
      <c r="I14" s="31"/>
    </row>
    <row r="15" spans="1:15" ht="15.75" customHeight="1" thickBot="1" x14ac:dyDescent="0.3">
      <c r="A15" s="20"/>
      <c r="B15" s="20"/>
      <c r="C15" s="81"/>
      <c r="D15" s="26">
        <v>12</v>
      </c>
      <c r="E15" s="33">
        <f>VLOOKUP($I$2,'Saisie résultats'!$C$9:$EO$18,82,0)</f>
        <v>0</v>
      </c>
      <c r="F15" s="76"/>
      <c r="G15" s="78"/>
      <c r="I15" s="31"/>
    </row>
    <row r="16" spans="1:15" ht="15.75" customHeight="1" thickBot="1" x14ac:dyDescent="0.3">
      <c r="A16" s="20"/>
      <c r="B16" s="20"/>
      <c r="C16" s="81"/>
      <c r="D16" s="26">
        <v>13</v>
      </c>
      <c r="E16" s="33">
        <f>VLOOKUP($I$2,'Saisie résultats'!$C$9:$EO$18,83,0)</f>
        <v>0</v>
      </c>
      <c r="F16" s="76"/>
      <c r="G16" s="78"/>
      <c r="I16" s="31"/>
    </row>
    <row r="17" spans="1:9" ht="15.75" customHeight="1" thickBot="1" x14ac:dyDescent="0.3">
      <c r="A17" s="20"/>
      <c r="B17" s="20"/>
      <c r="C17" s="81"/>
      <c r="D17" s="26">
        <v>14</v>
      </c>
      <c r="E17" s="33">
        <f>VLOOKUP($I$2,'Saisie résultats'!$C$9:$EO$18,84,0)</f>
        <v>0</v>
      </c>
      <c r="F17" s="76"/>
      <c r="G17" s="78"/>
      <c r="I17" s="31"/>
    </row>
    <row r="18" spans="1:9" ht="15.75" customHeight="1" thickBot="1" x14ac:dyDescent="0.3">
      <c r="A18" s="20"/>
      <c r="B18" s="20"/>
      <c r="C18" s="81"/>
      <c r="D18" s="26">
        <v>15</v>
      </c>
      <c r="E18" s="33">
        <f>VLOOKUP($I$2,'Saisie résultats'!$C$9:$EO$18,85,0)</f>
        <v>0</v>
      </c>
      <c r="F18" s="76"/>
      <c r="G18" s="78"/>
      <c r="I18" s="31"/>
    </row>
    <row r="19" spans="1:9" ht="15.75" customHeight="1" thickBot="1" x14ac:dyDescent="0.3">
      <c r="A19" s="20"/>
      <c r="B19" s="20"/>
      <c r="C19" s="81"/>
      <c r="D19" s="26">
        <v>16</v>
      </c>
      <c r="E19" s="33">
        <f>VLOOKUP($I$2,'Saisie résultats'!$C$9:$EO$18,86,0)</f>
        <v>0</v>
      </c>
      <c r="F19" s="76"/>
      <c r="G19" s="78"/>
      <c r="I19" s="31"/>
    </row>
    <row r="20" spans="1:9" ht="15.75" customHeight="1" thickBot="1" x14ac:dyDescent="0.3">
      <c r="A20" s="20"/>
      <c r="B20" s="20"/>
      <c r="C20" s="81"/>
      <c r="D20" s="26">
        <v>17</v>
      </c>
      <c r="E20" s="33">
        <f>VLOOKUP($I$2,'Saisie résultats'!$C$9:$EO$18,87,0)</f>
        <v>0</v>
      </c>
      <c r="F20" s="76"/>
      <c r="G20" s="78"/>
      <c r="I20" s="31"/>
    </row>
    <row r="21" spans="1:9" ht="15.75" customHeight="1" thickBot="1" x14ac:dyDescent="0.3">
      <c r="A21" s="20"/>
      <c r="B21" s="20"/>
      <c r="C21" s="81"/>
      <c r="D21" s="26">
        <v>18</v>
      </c>
      <c r="E21" s="33">
        <f>VLOOKUP($I$2,'Saisie résultats'!$C$9:$EO$18,88,0)</f>
        <v>0</v>
      </c>
      <c r="F21" s="76"/>
      <c r="G21" s="78"/>
      <c r="I21" s="31"/>
    </row>
    <row r="22" spans="1:9" ht="15.75" customHeight="1" thickBot="1" x14ac:dyDescent="0.3">
      <c r="A22" s="20"/>
      <c r="B22" s="20"/>
      <c r="C22" s="81"/>
      <c r="D22" s="26">
        <v>19</v>
      </c>
      <c r="E22" s="33">
        <f>VLOOKUP($I$2,'Saisie résultats'!$C$9:$EO$18,89,0)</f>
        <v>0</v>
      </c>
      <c r="F22" s="76"/>
      <c r="G22" s="78"/>
      <c r="I22" s="31"/>
    </row>
    <row r="23" spans="1:9" ht="15.75" customHeight="1" thickBot="1" x14ac:dyDescent="0.3">
      <c r="A23" s="20"/>
      <c r="B23" s="20"/>
      <c r="C23" s="81"/>
      <c r="D23" s="26">
        <v>20</v>
      </c>
      <c r="E23" s="33">
        <f>VLOOKUP($I$2,'Saisie résultats'!$C$9:$EO$18,90,0)</f>
        <v>0</v>
      </c>
      <c r="F23" s="76"/>
      <c r="G23" s="78"/>
      <c r="I23" s="31"/>
    </row>
    <row r="24" spans="1:9" ht="15.75" customHeight="1" thickBot="1" x14ac:dyDescent="0.3">
      <c r="A24" s="20"/>
      <c r="B24" s="20"/>
      <c r="C24" s="81"/>
      <c r="D24" s="26">
        <v>21</v>
      </c>
      <c r="E24" s="33">
        <f>VLOOKUP($I$2,'Saisie résultats'!$C$9:$EO$18,91,0)</f>
        <v>0</v>
      </c>
      <c r="F24" s="76"/>
      <c r="G24" s="78"/>
      <c r="I24" s="31"/>
    </row>
    <row r="25" spans="1:9" ht="15.75" customHeight="1" thickBot="1" x14ac:dyDescent="0.3">
      <c r="A25" s="20"/>
      <c r="B25" s="20"/>
      <c r="C25" s="81"/>
      <c r="D25" s="26">
        <v>22</v>
      </c>
      <c r="E25" s="33">
        <f>VLOOKUP($I$2,'Saisie résultats'!$C$9:$EO$18,92,0)</f>
        <v>0</v>
      </c>
      <c r="F25" s="76"/>
      <c r="G25" s="78"/>
      <c r="I25" s="31"/>
    </row>
    <row r="26" spans="1:9" ht="15.75" customHeight="1" thickBot="1" x14ac:dyDescent="0.3">
      <c r="A26" s="20"/>
      <c r="B26" s="20"/>
      <c r="C26" s="81"/>
      <c r="D26" s="26">
        <v>23</v>
      </c>
      <c r="E26" s="33">
        <f>VLOOKUP($I$2,'Saisie résultats'!$C$9:$EO$18,93,0)</f>
        <v>0</v>
      </c>
      <c r="F26" s="76"/>
      <c r="G26" s="78"/>
      <c r="I26" s="31"/>
    </row>
    <row r="27" spans="1:9" ht="15.75" customHeight="1" thickBot="1" x14ac:dyDescent="0.3">
      <c r="A27" s="20"/>
      <c r="B27" s="20"/>
      <c r="C27" s="81"/>
      <c r="D27" s="26">
        <v>24</v>
      </c>
      <c r="E27" s="33">
        <f>VLOOKUP($I$2,'Saisie résultats'!$C$9:$EO$18,94,0)</f>
        <v>0</v>
      </c>
      <c r="F27" s="76"/>
      <c r="G27" s="78"/>
      <c r="I27" s="31"/>
    </row>
    <row r="28" spans="1:9" ht="15.75" customHeight="1" thickBot="1" x14ac:dyDescent="0.3">
      <c r="A28" s="20"/>
      <c r="B28" s="20"/>
      <c r="C28" s="81"/>
      <c r="D28" s="26">
        <v>32</v>
      </c>
      <c r="E28" s="33">
        <f>VLOOKUP($I$2,'Saisie résultats'!$C$9:$EO$18,102,0)</f>
        <v>0</v>
      </c>
      <c r="F28" s="76"/>
      <c r="G28" s="78"/>
      <c r="I28" s="31"/>
    </row>
    <row r="29" spans="1:9" ht="15.75" customHeight="1" thickBot="1" x14ac:dyDescent="0.3">
      <c r="A29" s="20"/>
      <c r="B29" s="20"/>
      <c r="C29" s="81"/>
      <c r="D29" s="26">
        <v>33</v>
      </c>
      <c r="E29" s="33">
        <f>VLOOKUP($I$2,'Saisie résultats'!$C$9:$EO$18,103,0)</f>
        <v>0</v>
      </c>
      <c r="F29" s="76"/>
      <c r="G29" s="78"/>
      <c r="I29" s="31"/>
    </row>
    <row r="30" spans="1:9" ht="15.75" customHeight="1" thickBot="1" x14ac:dyDescent="0.3">
      <c r="A30" s="20"/>
      <c r="B30" s="20"/>
      <c r="C30" s="81"/>
      <c r="D30" s="26">
        <v>34</v>
      </c>
      <c r="E30" s="33">
        <f>VLOOKUP($I$2,'Saisie résultats'!$C$9:$EO$18,104,0)</f>
        <v>0</v>
      </c>
      <c r="F30" s="76"/>
      <c r="G30" s="78"/>
      <c r="I30" s="31"/>
    </row>
    <row r="31" spans="1:9" ht="15.75" customHeight="1" thickBot="1" x14ac:dyDescent="0.3">
      <c r="A31" s="20"/>
      <c r="B31" s="20"/>
      <c r="C31" s="81"/>
      <c r="D31" s="26">
        <v>35</v>
      </c>
      <c r="E31" s="33">
        <f>VLOOKUP($I$2,'Saisie résultats'!$C$9:$EO$18,105,0)</f>
        <v>0</v>
      </c>
      <c r="F31" s="76"/>
      <c r="G31" s="78"/>
      <c r="I31" s="31"/>
    </row>
    <row r="32" spans="1:9" ht="15.75" customHeight="1" thickBot="1" x14ac:dyDescent="0.3">
      <c r="A32" s="20"/>
      <c r="B32" s="20"/>
      <c r="C32" s="81"/>
      <c r="D32" s="26">
        <v>36</v>
      </c>
      <c r="E32" s="33">
        <f>VLOOKUP($I$2,'Saisie résultats'!$C$9:$EO$18,106,0)</f>
        <v>0</v>
      </c>
      <c r="F32" s="76"/>
      <c r="G32" s="78"/>
      <c r="I32" s="31"/>
    </row>
    <row r="33" spans="1:9" ht="15.75" customHeight="1" thickBot="1" x14ac:dyDescent="0.3">
      <c r="A33" s="20"/>
      <c r="B33" s="20"/>
      <c r="C33" s="81"/>
      <c r="D33" s="26">
        <v>37</v>
      </c>
      <c r="E33" s="33">
        <f>VLOOKUP($I$2,'Saisie résultats'!$C$9:$EO$18,107,0)</f>
        <v>0</v>
      </c>
      <c r="F33" s="76"/>
      <c r="G33" s="78"/>
      <c r="I33" s="31"/>
    </row>
    <row r="34" spans="1:9" ht="15.75" customHeight="1" thickBot="1" x14ac:dyDescent="0.3">
      <c r="A34" s="20"/>
      <c r="B34" s="20"/>
      <c r="C34" s="81"/>
      <c r="D34" s="26">
        <v>38</v>
      </c>
      <c r="E34" s="33">
        <f>VLOOKUP($I$2,'Saisie résultats'!$C$9:$EO$18,108,0)</f>
        <v>0</v>
      </c>
      <c r="F34" s="76"/>
      <c r="G34" s="78"/>
      <c r="I34" s="31"/>
    </row>
    <row r="35" spans="1:9" ht="15.75" customHeight="1" thickBot="1" x14ac:dyDescent="0.3">
      <c r="A35" s="20"/>
      <c r="B35" s="20"/>
      <c r="C35" s="81"/>
      <c r="D35" s="26">
        <v>39</v>
      </c>
      <c r="E35" s="33">
        <f>VLOOKUP($I$2,'Saisie résultats'!$C$9:$EO$18,109,0)</f>
        <v>0</v>
      </c>
      <c r="F35" s="76"/>
      <c r="G35" s="78"/>
      <c r="I35" s="31"/>
    </row>
    <row r="36" spans="1:9" ht="15.75" customHeight="1" thickBot="1" x14ac:dyDescent="0.3">
      <c r="A36" s="20"/>
      <c r="B36" s="20"/>
      <c r="C36" s="81"/>
      <c r="D36" s="26">
        <v>40</v>
      </c>
      <c r="E36" s="33">
        <f>VLOOKUP($I$2,'Saisie résultats'!$C$9:$EO$18,110,0)</f>
        <v>0</v>
      </c>
      <c r="F36" s="76"/>
      <c r="G36" s="78"/>
      <c r="I36" s="31"/>
    </row>
    <row r="37" spans="1:9" ht="15.75" thickBot="1" x14ac:dyDescent="0.3">
      <c r="A37" s="20"/>
      <c r="B37" s="20"/>
      <c r="C37" s="81"/>
      <c r="D37" s="26">
        <v>41</v>
      </c>
      <c r="E37" s="33">
        <f>VLOOKUP($I$2,'Saisie résultats'!$C$9:$EO$18,111,0)</f>
        <v>0</v>
      </c>
      <c r="F37" s="76"/>
      <c r="G37" s="78"/>
      <c r="I37" s="31"/>
    </row>
    <row r="38" spans="1:9" ht="15.75" thickBot="1" x14ac:dyDescent="0.3">
      <c r="A38" s="20"/>
      <c r="B38" s="20"/>
      <c r="C38" s="81"/>
      <c r="D38" s="26">
        <v>42</v>
      </c>
      <c r="E38" s="33">
        <f>VLOOKUP($I$2,'Saisie résultats'!$C$9:$EO$18,112,0)</f>
        <v>0</v>
      </c>
      <c r="F38" s="76"/>
      <c r="G38" s="78"/>
      <c r="I38" s="31"/>
    </row>
    <row r="39" spans="1:9" ht="15.75" thickBot="1" x14ac:dyDescent="0.3">
      <c r="A39" s="20"/>
      <c r="B39" s="20"/>
      <c r="C39" s="81"/>
      <c r="D39" s="26">
        <v>43</v>
      </c>
      <c r="E39" s="33">
        <f>VLOOKUP($I$2,'Saisie résultats'!$C$9:$EO$18,113,0)</f>
        <v>0</v>
      </c>
      <c r="F39" s="76"/>
      <c r="G39" s="78"/>
      <c r="I39" s="31"/>
    </row>
    <row r="40" spans="1:9" ht="15.75" thickBot="1" x14ac:dyDescent="0.3">
      <c r="A40" s="20"/>
      <c r="B40" s="20"/>
      <c r="C40" s="81"/>
      <c r="D40" s="26">
        <v>50</v>
      </c>
      <c r="E40" s="33">
        <f>VLOOKUP($I$2,'Saisie résultats'!$C$9:$EO$18,120,0)</f>
        <v>0</v>
      </c>
      <c r="F40" s="76"/>
      <c r="G40" s="78"/>
      <c r="I40" s="31"/>
    </row>
    <row r="41" spans="1:9" ht="15.75" thickBot="1" x14ac:dyDescent="0.3">
      <c r="A41" s="20"/>
      <c r="B41" s="20"/>
      <c r="C41" s="81"/>
      <c r="D41" s="26">
        <v>51</v>
      </c>
      <c r="E41" s="33">
        <f>VLOOKUP($I$2,'Saisie résultats'!$C$9:$EO$18,121,0)</f>
        <v>0</v>
      </c>
      <c r="F41" s="76"/>
      <c r="G41" s="78"/>
      <c r="I41" s="31"/>
    </row>
    <row r="42" spans="1:9" ht="15.75" thickBot="1" x14ac:dyDescent="0.3">
      <c r="A42" s="20"/>
      <c r="B42" s="20"/>
      <c r="C42" s="81"/>
      <c r="D42" s="26">
        <v>52</v>
      </c>
      <c r="E42" s="33">
        <f>VLOOKUP($I$2,'Saisie résultats'!$C$9:$EO$18,122,0)</f>
        <v>0</v>
      </c>
      <c r="F42" s="76"/>
      <c r="G42" s="78"/>
      <c r="I42" s="31"/>
    </row>
    <row r="43" spans="1:9" ht="15.75" thickBot="1" x14ac:dyDescent="0.3">
      <c r="A43" s="20"/>
      <c r="B43" s="20"/>
      <c r="C43" s="81"/>
      <c r="D43" s="26">
        <v>53</v>
      </c>
      <c r="E43" s="33">
        <f>VLOOKUP($I$2,'Saisie résultats'!$C$9:$EO$18,123,0)</f>
        <v>0</v>
      </c>
      <c r="F43" s="76"/>
      <c r="G43" s="78"/>
      <c r="I43" s="31"/>
    </row>
    <row r="44" spans="1:9" ht="15.75" customHeight="1" thickBot="1" x14ac:dyDescent="0.3">
      <c r="A44" s="20"/>
      <c r="B44" s="20"/>
      <c r="C44" s="81"/>
      <c r="D44" s="26">
        <v>54</v>
      </c>
      <c r="E44" s="33">
        <f>VLOOKUP($I$2,'Saisie résultats'!$C$9:$EO$18,124,0)</f>
        <v>0</v>
      </c>
      <c r="F44" s="76"/>
      <c r="G44" s="78"/>
      <c r="I44" s="31"/>
    </row>
    <row r="45" spans="1:9" ht="15.75" thickBot="1" x14ac:dyDescent="0.3">
      <c r="A45" s="20"/>
      <c r="B45" s="20"/>
      <c r="C45" s="81"/>
      <c r="D45" s="27">
        <v>55</v>
      </c>
      <c r="E45" s="33">
        <f>VLOOKUP($I$2,'Saisie résultats'!$C$9:$EO$18,125,0)</f>
        <v>0</v>
      </c>
      <c r="F45" s="76"/>
      <c r="G45" s="78"/>
      <c r="I45" s="31"/>
    </row>
    <row r="46" spans="1:9" ht="15.75" thickBot="1" x14ac:dyDescent="0.3">
      <c r="A46" s="20"/>
      <c r="B46" s="20"/>
      <c r="C46" s="81"/>
      <c r="D46" s="26">
        <v>56</v>
      </c>
      <c r="E46" s="33">
        <f>VLOOKUP($I$2,'Saisie résultats'!$C$9:$EO$18,126,0)</f>
        <v>0</v>
      </c>
      <c r="F46" s="76"/>
      <c r="G46" s="78"/>
      <c r="I46" s="31"/>
    </row>
    <row r="47" spans="1:9" ht="15.75" thickBot="1" x14ac:dyDescent="0.3">
      <c r="A47" s="20"/>
      <c r="B47" s="20"/>
      <c r="C47" s="82"/>
      <c r="D47" s="28">
        <v>57</v>
      </c>
      <c r="E47" s="33">
        <f>VLOOKUP($I$2,'Saisie résultats'!$C$9:$EO$18,127,0)</f>
        <v>0</v>
      </c>
      <c r="F47" s="76"/>
      <c r="G47" s="78"/>
      <c r="I47" s="31"/>
    </row>
    <row r="48" spans="1:9" ht="15.75" customHeight="1" thickBot="1" x14ac:dyDescent="0.3">
      <c r="A48" s="21"/>
      <c r="B48" s="21"/>
      <c r="C48" s="62" t="s">
        <v>37</v>
      </c>
      <c r="D48" s="25">
        <v>25</v>
      </c>
      <c r="E48" s="33">
        <f>VLOOKUP($I$2,'Saisie résultats'!$C$9:$EO$18,95,0)</f>
        <v>0</v>
      </c>
      <c r="F48" s="76">
        <f>COUNTIF(E48:E64,1)/COUNTIF(E48:E64,"&lt;10")</f>
        <v>0</v>
      </c>
      <c r="G48" s="78"/>
      <c r="I48" s="31"/>
    </row>
    <row r="49" spans="1:9" ht="15.75" thickBot="1" x14ac:dyDescent="0.3">
      <c r="A49" s="21"/>
      <c r="B49" s="21"/>
      <c r="C49" s="63"/>
      <c r="D49" s="26">
        <v>26</v>
      </c>
      <c r="E49" s="33">
        <f>VLOOKUP($I$2,'Saisie résultats'!$C$9:$EO$18,96,0)</f>
        <v>0</v>
      </c>
      <c r="F49" s="76"/>
      <c r="G49" s="78"/>
      <c r="I49" s="31"/>
    </row>
    <row r="50" spans="1:9" ht="15.75" customHeight="1" thickBot="1" x14ac:dyDescent="0.3">
      <c r="A50" s="21"/>
      <c r="B50" s="21"/>
      <c r="C50" s="63"/>
      <c r="D50" s="26">
        <v>27</v>
      </c>
      <c r="E50" s="33">
        <f>VLOOKUP($I$2,'Saisie résultats'!$C$9:$EO$18,97,0)</f>
        <v>0</v>
      </c>
      <c r="F50" s="76"/>
      <c r="G50" s="78"/>
      <c r="I50" s="31"/>
    </row>
    <row r="51" spans="1:9" ht="15.75" thickBot="1" x14ac:dyDescent="0.3">
      <c r="A51" s="21"/>
      <c r="B51" s="21"/>
      <c r="C51" s="63"/>
      <c r="D51" s="26">
        <v>28</v>
      </c>
      <c r="E51" s="33">
        <f>VLOOKUP($I$2,'Saisie résultats'!$C$9:$EO$18,98,0)</f>
        <v>0</v>
      </c>
      <c r="F51" s="76"/>
      <c r="G51" s="78"/>
      <c r="I51" s="31"/>
    </row>
    <row r="52" spans="1:9" ht="15.75" thickBot="1" x14ac:dyDescent="0.3">
      <c r="A52" s="21"/>
      <c r="B52" s="21"/>
      <c r="C52" s="63"/>
      <c r="D52" s="26">
        <v>29</v>
      </c>
      <c r="E52" s="33">
        <f>VLOOKUP($I$2,'Saisie résultats'!$C$9:$EO$18,99,0)</f>
        <v>0</v>
      </c>
      <c r="F52" s="76"/>
      <c r="G52" s="78"/>
      <c r="I52" s="31"/>
    </row>
    <row r="53" spans="1:9" ht="15.75" thickBot="1" x14ac:dyDescent="0.3">
      <c r="A53" s="21"/>
      <c r="B53" s="21"/>
      <c r="C53" s="63"/>
      <c r="D53" s="26">
        <v>30</v>
      </c>
      <c r="E53" s="33">
        <f>VLOOKUP($I$2,'Saisie résultats'!$C$9:$EO$18,100,0)</f>
        <v>0</v>
      </c>
      <c r="F53" s="76"/>
      <c r="G53" s="78"/>
      <c r="I53" s="31"/>
    </row>
    <row r="54" spans="1:9" ht="15.75" thickBot="1" x14ac:dyDescent="0.3">
      <c r="A54" s="21"/>
      <c r="B54" s="21"/>
      <c r="C54" s="63"/>
      <c r="D54" s="26">
        <v>31</v>
      </c>
      <c r="E54" s="33">
        <f>VLOOKUP($I$2,'Saisie résultats'!$C$9:$EO$18,101,0)</f>
        <v>0</v>
      </c>
      <c r="F54" s="76"/>
      <c r="G54" s="78"/>
      <c r="I54" s="31"/>
    </row>
    <row r="55" spans="1:9" ht="15.75" thickBot="1" x14ac:dyDescent="0.3">
      <c r="A55" s="21"/>
      <c r="B55" s="21"/>
      <c r="C55" s="63"/>
      <c r="D55" s="26">
        <v>64</v>
      </c>
      <c r="E55" s="33">
        <f>VLOOKUP($I$2,'Saisie résultats'!$C$9:$EO$18,134,0)</f>
        <v>0</v>
      </c>
      <c r="F55" s="76"/>
      <c r="G55" s="78"/>
      <c r="I55" s="31"/>
    </row>
    <row r="56" spans="1:9" ht="15.75" thickBot="1" x14ac:dyDescent="0.3">
      <c r="A56" s="21"/>
      <c r="B56" s="21"/>
      <c r="C56" s="63"/>
      <c r="D56" s="26">
        <v>65</v>
      </c>
      <c r="E56" s="33">
        <f>VLOOKUP($I$2,'Saisie résultats'!$C$9:$EO$18,135,0)</f>
        <v>0</v>
      </c>
      <c r="F56" s="76"/>
      <c r="G56" s="78"/>
      <c r="I56" s="31"/>
    </row>
    <row r="57" spans="1:9" ht="15.75" thickBot="1" x14ac:dyDescent="0.3">
      <c r="A57" s="21"/>
      <c r="B57" s="21"/>
      <c r="C57" s="63"/>
      <c r="D57" s="26">
        <v>66</v>
      </c>
      <c r="E57" s="33">
        <f>VLOOKUP($I$2,'Saisie résultats'!$C$9:$EO$18,136,0)</f>
        <v>0</v>
      </c>
      <c r="F57" s="76"/>
      <c r="G57" s="78"/>
      <c r="I57" s="31"/>
    </row>
    <row r="58" spans="1:9" ht="15.75" thickBot="1" x14ac:dyDescent="0.3">
      <c r="A58" s="21"/>
      <c r="B58" s="21"/>
      <c r="C58" s="63"/>
      <c r="D58" s="26">
        <v>67</v>
      </c>
      <c r="E58" s="33">
        <f>VLOOKUP($I$2,'Saisie résultats'!$C$9:$EO$18,137,0)</f>
        <v>0</v>
      </c>
      <c r="F58" s="76"/>
      <c r="G58" s="78"/>
      <c r="I58" s="31"/>
    </row>
    <row r="59" spans="1:9" ht="15.75" thickBot="1" x14ac:dyDescent="0.3">
      <c r="A59" s="21"/>
      <c r="B59" s="21"/>
      <c r="C59" s="63"/>
      <c r="D59" s="26">
        <v>68</v>
      </c>
      <c r="E59" s="33">
        <f>VLOOKUP($I$2,'Saisie résultats'!$C$9:$EO$18,138,0)</f>
        <v>0</v>
      </c>
      <c r="F59" s="76"/>
      <c r="G59" s="78"/>
      <c r="I59" s="31"/>
    </row>
    <row r="60" spans="1:9" ht="15.75" thickBot="1" x14ac:dyDescent="0.3">
      <c r="A60" s="21"/>
      <c r="B60" s="21"/>
      <c r="C60" s="63"/>
      <c r="D60" s="26">
        <v>69</v>
      </c>
      <c r="E60" s="33">
        <f>VLOOKUP($I$2,'Saisie résultats'!$C$9:$EO$18,139,0)</f>
        <v>0</v>
      </c>
      <c r="F60" s="76"/>
      <c r="G60" s="78"/>
      <c r="I60" s="31"/>
    </row>
    <row r="61" spans="1:9" ht="15.75" thickBot="1" x14ac:dyDescent="0.3">
      <c r="A61" s="21"/>
      <c r="B61" s="21"/>
      <c r="C61" s="63"/>
      <c r="D61" s="26">
        <v>70</v>
      </c>
      <c r="E61" s="33">
        <f>VLOOKUP($I$2,'Saisie résultats'!$C$9:$EO$18,140,0)</f>
        <v>0</v>
      </c>
      <c r="F61" s="76"/>
      <c r="G61" s="78"/>
      <c r="I61" s="31"/>
    </row>
    <row r="62" spans="1:9" ht="15.75" thickBot="1" x14ac:dyDescent="0.3">
      <c r="A62" s="21"/>
      <c r="B62" s="21"/>
      <c r="C62" s="63"/>
      <c r="D62" s="26">
        <v>71</v>
      </c>
      <c r="E62" s="33">
        <f>VLOOKUP($I$2,'Saisie résultats'!$C$9:$EO$18,141,0)</f>
        <v>0</v>
      </c>
      <c r="F62" s="76"/>
      <c r="G62" s="78"/>
      <c r="I62" s="31"/>
    </row>
    <row r="63" spans="1:9" ht="15.75" thickBot="1" x14ac:dyDescent="0.3">
      <c r="A63" s="21"/>
      <c r="B63" s="21"/>
      <c r="C63" s="63"/>
      <c r="D63" s="26">
        <v>72</v>
      </c>
      <c r="E63" s="33">
        <f>VLOOKUP($I$2,'Saisie résultats'!$C$9:$EO$18,142,0)</f>
        <v>0</v>
      </c>
      <c r="F63" s="76"/>
      <c r="G63" s="78"/>
      <c r="I63" s="31"/>
    </row>
    <row r="64" spans="1:9" ht="15.75" thickBot="1" x14ac:dyDescent="0.3">
      <c r="A64" s="21"/>
      <c r="B64" s="21"/>
      <c r="C64" s="64"/>
      <c r="D64" s="28">
        <v>73</v>
      </c>
      <c r="E64" s="33">
        <f>VLOOKUP($I$2,'Saisie résultats'!$C$9:$EO$18,143,0)</f>
        <v>0</v>
      </c>
      <c r="F64" s="76"/>
      <c r="G64" s="78"/>
      <c r="I64" s="31"/>
    </row>
    <row r="65" spans="1:9" ht="15.75" customHeight="1" thickBot="1" x14ac:dyDescent="0.3">
      <c r="A65" s="22"/>
      <c r="B65" s="22"/>
      <c r="C65" s="62" t="s">
        <v>38</v>
      </c>
      <c r="D65" s="25">
        <v>44</v>
      </c>
      <c r="E65" s="33">
        <f>VLOOKUP($I$2,'Saisie résultats'!$C$9:$EO$18,114,0)</f>
        <v>0</v>
      </c>
      <c r="F65" s="76">
        <f>COUNTIF(E65:E76,1)/COUNTIF(E65:E76,"&lt;10")</f>
        <v>0</v>
      </c>
      <c r="G65" s="78"/>
      <c r="I65" s="31"/>
    </row>
    <row r="66" spans="1:9" ht="15.75" thickBot="1" x14ac:dyDescent="0.3">
      <c r="A66" s="22"/>
      <c r="B66" s="22"/>
      <c r="C66" s="63"/>
      <c r="D66" s="26">
        <v>45</v>
      </c>
      <c r="E66" s="33">
        <f>VLOOKUP($I$2,'Saisie résultats'!$C$9:$EO$18,115,0)</f>
        <v>0</v>
      </c>
      <c r="F66" s="76"/>
      <c r="G66" s="78"/>
      <c r="I66" s="31"/>
    </row>
    <row r="67" spans="1:9" ht="15.75" customHeight="1" thickBot="1" x14ac:dyDescent="0.3">
      <c r="A67" s="22"/>
      <c r="B67" s="22"/>
      <c r="C67" s="63"/>
      <c r="D67" s="26">
        <v>46</v>
      </c>
      <c r="E67" s="33">
        <f>VLOOKUP($I$2,'Saisie résultats'!$C$9:$EO$18,116,0)</f>
        <v>0</v>
      </c>
      <c r="F67" s="76"/>
      <c r="G67" s="78"/>
      <c r="I67" s="31"/>
    </row>
    <row r="68" spans="1:9" ht="15.75" thickBot="1" x14ac:dyDescent="0.3">
      <c r="A68" s="22"/>
      <c r="B68" s="22"/>
      <c r="C68" s="63"/>
      <c r="D68" s="26">
        <v>47</v>
      </c>
      <c r="E68" s="33">
        <f>VLOOKUP($I$2,'Saisie résultats'!$C$9:$EO$18,117,0)</f>
        <v>0</v>
      </c>
      <c r="F68" s="76"/>
      <c r="G68" s="78"/>
      <c r="I68" s="31"/>
    </row>
    <row r="69" spans="1:9" ht="15.75" thickBot="1" x14ac:dyDescent="0.3">
      <c r="A69" s="22"/>
      <c r="B69" s="22"/>
      <c r="C69" s="63"/>
      <c r="D69" s="26">
        <v>48</v>
      </c>
      <c r="E69" s="33">
        <f>VLOOKUP($I$2,'Saisie résultats'!$C$9:$EO$18,118,0)</f>
        <v>0</v>
      </c>
      <c r="F69" s="76"/>
      <c r="G69" s="78"/>
      <c r="I69" s="31"/>
    </row>
    <row r="70" spans="1:9" ht="15.75" thickBot="1" x14ac:dyDescent="0.3">
      <c r="A70" s="22"/>
      <c r="B70" s="22"/>
      <c r="C70" s="63"/>
      <c r="D70" s="26">
        <v>49</v>
      </c>
      <c r="E70" s="33">
        <f>VLOOKUP($I$2,'Saisie résultats'!$C$9:$EO$18,119,0)</f>
        <v>0</v>
      </c>
      <c r="F70" s="76"/>
      <c r="G70" s="78"/>
      <c r="I70" s="31"/>
    </row>
    <row r="71" spans="1:9" ht="15.75" customHeight="1" thickBot="1" x14ac:dyDescent="0.3">
      <c r="A71" s="22"/>
      <c r="B71" s="22"/>
      <c r="C71" s="63"/>
      <c r="D71" s="26">
        <v>58</v>
      </c>
      <c r="E71" s="33">
        <f>VLOOKUP($I$2,'Saisie résultats'!$C$9:$EO$18,128,0)</f>
        <v>0</v>
      </c>
      <c r="F71" s="76"/>
      <c r="G71" s="78"/>
      <c r="I71" s="31"/>
    </row>
    <row r="72" spans="1:9" ht="18.75" customHeight="1" thickBot="1" x14ac:dyDescent="0.3">
      <c r="A72" s="22"/>
      <c r="B72" s="22"/>
      <c r="C72" s="63"/>
      <c r="D72" s="26">
        <v>59</v>
      </c>
      <c r="E72" s="33">
        <f>VLOOKUP($I$2,'Saisie résultats'!$C$9:$EO$18,129,0)</f>
        <v>0</v>
      </c>
      <c r="F72" s="76"/>
      <c r="G72" s="78"/>
      <c r="I72" s="31"/>
    </row>
    <row r="73" spans="1:9" ht="15.75" thickBot="1" x14ac:dyDescent="0.3">
      <c r="A73" s="22"/>
      <c r="B73" s="22"/>
      <c r="C73" s="63"/>
      <c r="D73" s="26">
        <v>60</v>
      </c>
      <c r="E73" s="33">
        <f>VLOOKUP($I$2,'Saisie résultats'!$C$9:$EO$18,130,0)</f>
        <v>0</v>
      </c>
      <c r="F73" s="76"/>
      <c r="G73" s="78"/>
      <c r="I73" s="31"/>
    </row>
    <row r="74" spans="1:9" ht="15.75" thickBot="1" x14ac:dyDescent="0.3">
      <c r="A74" s="22"/>
      <c r="B74" s="22"/>
      <c r="C74" s="63"/>
      <c r="D74" s="26">
        <v>61</v>
      </c>
      <c r="E74" s="33">
        <f>VLOOKUP($I$2,'Saisie résultats'!$C$9:$EO$18,131,0)</f>
        <v>0</v>
      </c>
      <c r="F74" s="76"/>
      <c r="G74" s="78"/>
      <c r="I74" s="31"/>
    </row>
    <row r="75" spans="1:9" ht="15.75" thickBot="1" x14ac:dyDescent="0.3">
      <c r="A75" s="22"/>
      <c r="B75" s="22"/>
      <c r="C75" s="63"/>
      <c r="D75" s="26">
        <v>62</v>
      </c>
      <c r="E75" s="33">
        <f>VLOOKUP($I$2,'Saisie résultats'!$C$9:$EO$18,132,0)</f>
        <v>0</v>
      </c>
      <c r="F75" s="76"/>
      <c r="G75" s="78"/>
      <c r="I75" s="31"/>
    </row>
    <row r="76" spans="1:9" ht="15.75" thickBot="1" x14ac:dyDescent="0.3">
      <c r="A76" s="22"/>
      <c r="B76" s="22"/>
      <c r="C76" s="64"/>
      <c r="D76" s="38">
        <v>63</v>
      </c>
      <c r="E76" s="39">
        <f>VLOOKUP($I$2,'Saisie résultats'!$C$9:$EO$18,133,0)</f>
        <v>0</v>
      </c>
      <c r="F76" s="76"/>
      <c r="G76" s="79"/>
      <c r="I76" s="31"/>
    </row>
    <row r="77" spans="1:9" x14ac:dyDescent="0.25">
      <c r="I77" s="31"/>
    </row>
    <row r="78" spans="1:9" x14ac:dyDescent="0.25">
      <c r="I78" s="31"/>
    </row>
    <row r="79" spans="1:9" x14ac:dyDescent="0.25">
      <c r="I79" s="31"/>
    </row>
    <row r="80" spans="1:9" x14ac:dyDescent="0.25">
      <c r="I80" s="31"/>
    </row>
    <row r="81" spans="9:9" x14ac:dyDescent="0.25">
      <c r="I81" s="31"/>
    </row>
    <row r="82" spans="9:9" x14ac:dyDescent="0.25">
      <c r="I82" s="31"/>
    </row>
    <row r="83" spans="9:9" x14ac:dyDescent="0.25">
      <c r="I83" s="31"/>
    </row>
    <row r="84" spans="9:9" x14ac:dyDescent="0.25">
      <c r="I84" s="31"/>
    </row>
    <row r="85" spans="9:9" x14ac:dyDescent="0.25">
      <c r="I85" s="31"/>
    </row>
    <row r="86" spans="9:9" x14ac:dyDescent="0.25">
      <c r="I86" s="31"/>
    </row>
    <row r="87" spans="9:9" x14ac:dyDescent="0.25">
      <c r="I87" s="31"/>
    </row>
    <row r="88" spans="9:9" x14ac:dyDescent="0.25">
      <c r="I88" s="31"/>
    </row>
    <row r="89" spans="9:9" x14ac:dyDescent="0.25">
      <c r="I89" s="31"/>
    </row>
    <row r="90" spans="9:9" x14ac:dyDescent="0.25">
      <c r="I90" s="31"/>
    </row>
    <row r="91" spans="9:9" x14ac:dyDescent="0.25">
      <c r="I91" s="31"/>
    </row>
    <row r="92" spans="9:9" x14ac:dyDescent="0.25">
      <c r="I92" s="31"/>
    </row>
    <row r="93" spans="9:9" x14ac:dyDescent="0.25">
      <c r="I93" s="31"/>
    </row>
    <row r="94" spans="9:9" x14ac:dyDescent="0.25">
      <c r="I94" s="31"/>
    </row>
    <row r="95" spans="9:9" x14ac:dyDescent="0.25">
      <c r="I95" s="31"/>
    </row>
    <row r="96" spans="9:9" x14ac:dyDescent="0.25">
      <c r="I96" s="31"/>
    </row>
    <row r="97" spans="9:9" x14ac:dyDescent="0.25">
      <c r="I97" s="31"/>
    </row>
    <row r="98" spans="9:9" x14ac:dyDescent="0.25">
      <c r="I98" s="31"/>
    </row>
    <row r="99" spans="9:9" x14ac:dyDescent="0.25">
      <c r="I99" s="31"/>
    </row>
    <row r="100" spans="9:9" x14ac:dyDescent="0.25">
      <c r="I100" s="31"/>
    </row>
    <row r="101" spans="9:9" x14ac:dyDescent="0.25">
      <c r="I101" s="31"/>
    </row>
    <row r="102" spans="9:9" x14ac:dyDescent="0.25">
      <c r="I102" s="31"/>
    </row>
    <row r="103" spans="9:9" x14ac:dyDescent="0.25">
      <c r="I103" s="31"/>
    </row>
    <row r="104" spans="9:9" x14ac:dyDescent="0.25">
      <c r="I104" s="31"/>
    </row>
    <row r="105" spans="9:9" x14ac:dyDescent="0.25">
      <c r="I105" s="31"/>
    </row>
    <row r="106" spans="9:9" x14ac:dyDescent="0.25">
      <c r="I106" s="31"/>
    </row>
    <row r="107" spans="9:9" x14ac:dyDescent="0.25">
      <c r="I107" s="31"/>
    </row>
    <row r="108" spans="9:9" x14ac:dyDescent="0.25">
      <c r="I108" s="31"/>
    </row>
    <row r="109" spans="9:9" x14ac:dyDescent="0.25">
      <c r="I109" s="31"/>
    </row>
    <row r="110" spans="9:9" x14ac:dyDescent="0.25">
      <c r="I110" s="31"/>
    </row>
    <row r="111" spans="9:9" x14ac:dyDescent="0.25">
      <c r="I111" s="31"/>
    </row>
    <row r="112" spans="9:9" x14ac:dyDescent="0.25">
      <c r="I112" s="31"/>
    </row>
    <row r="113" spans="9:9" x14ac:dyDescent="0.25">
      <c r="I113" s="31"/>
    </row>
    <row r="114" spans="9:9" x14ac:dyDescent="0.25">
      <c r="I114" s="31"/>
    </row>
    <row r="115" spans="9:9" x14ac:dyDescent="0.25">
      <c r="I115" s="31"/>
    </row>
    <row r="116" spans="9:9" x14ac:dyDescent="0.25">
      <c r="I116" s="31"/>
    </row>
    <row r="117" spans="9:9" x14ac:dyDescent="0.25">
      <c r="I117" s="31"/>
    </row>
    <row r="118" spans="9:9" x14ac:dyDescent="0.25">
      <c r="I118" s="31"/>
    </row>
    <row r="119" spans="9:9" x14ac:dyDescent="0.25">
      <c r="I119" s="31"/>
    </row>
    <row r="120" spans="9:9" x14ac:dyDescent="0.25">
      <c r="I120" s="31"/>
    </row>
    <row r="121" spans="9:9" x14ac:dyDescent="0.25">
      <c r="I121" s="31"/>
    </row>
    <row r="122" spans="9:9" x14ac:dyDescent="0.25">
      <c r="I122" s="31"/>
    </row>
    <row r="123" spans="9:9" x14ac:dyDescent="0.25">
      <c r="I123" s="31"/>
    </row>
    <row r="124" spans="9:9" x14ac:dyDescent="0.25">
      <c r="I124" s="31"/>
    </row>
    <row r="125" spans="9:9" x14ac:dyDescent="0.25">
      <c r="I125" s="31"/>
    </row>
    <row r="126" spans="9:9" x14ac:dyDescent="0.25">
      <c r="I126" s="31"/>
    </row>
    <row r="127" spans="9:9" x14ac:dyDescent="0.25">
      <c r="I127" s="31"/>
    </row>
    <row r="128" spans="9:9" x14ac:dyDescent="0.25">
      <c r="I128" s="31"/>
    </row>
    <row r="129" spans="9:9" x14ac:dyDescent="0.25">
      <c r="I129" s="31"/>
    </row>
    <row r="130" spans="9:9" x14ac:dyDescent="0.25">
      <c r="I130" s="31"/>
    </row>
    <row r="131" spans="9:9" x14ac:dyDescent="0.25">
      <c r="I131" s="31"/>
    </row>
    <row r="132" spans="9:9" x14ac:dyDescent="0.25">
      <c r="I132" s="31"/>
    </row>
    <row r="133" spans="9:9" x14ac:dyDescent="0.25">
      <c r="I133" s="31"/>
    </row>
    <row r="134" spans="9:9" x14ac:dyDescent="0.25">
      <c r="I134" s="31"/>
    </row>
    <row r="135" spans="9:9" x14ac:dyDescent="0.25">
      <c r="I135" s="31"/>
    </row>
    <row r="136" spans="9:9" x14ac:dyDescent="0.25">
      <c r="I136" s="31"/>
    </row>
    <row r="137" spans="9:9" x14ac:dyDescent="0.25">
      <c r="I137" s="31"/>
    </row>
    <row r="138" spans="9:9" x14ac:dyDescent="0.25">
      <c r="I138" s="31"/>
    </row>
    <row r="139" spans="9:9" x14ac:dyDescent="0.25">
      <c r="I139" s="31"/>
    </row>
    <row r="140" spans="9:9" x14ac:dyDescent="0.25">
      <c r="I140" s="31"/>
    </row>
    <row r="141" spans="9:9" x14ac:dyDescent="0.25">
      <c r="I141" s="31"/>
    </row>
    <row r="142" spans="9:9" x14ac:dyDescent="0.25">
      <c r="I142" s="31"/>
    </row>
    <row r="143" spans="9:9" x14ac:dyDescent="0.25">
      <c r="I143" s="31"/>
    </row>
    <row r="144" spans="9:9" x14ac:dyDescent="0.25">
      <c r="I144" s="31"/>
    </row>
    <row r="145" spans="9:9" x14ac:dyDescent="0.25">
      <c r="I145" s="31"/>
    </row>
    <row r="146" spans="9:9" x14ac:dyDescent="0.25">
      <c r="I146" s="31"/>
    </row>
    <row r="147" spans="9:9" x14ac:dyDescent="0.25">
      <c r="I147" s="31"/>
    </row>
    <row r="148" spans="9:9" x14ac:dyDescent="0.25">
      <c r="I148" s="31"/>
    </row>
    <row r="149" spans="9:9" x14ac:dyDescent="0.25">
      <c r="I149" s="31"/>
    </row>
    <row r="150" spans="9:9" x14ac:dyDescent="0.25">
      <c r="I150" s="31"/>
    </row>
    <row r="151" spans="9:9" x14ac:dyDescent="0.25">
      <c r="I151" s="31"/>
    </row>
    <row r="152" spans="9:9" x14ac:dyDescent="0.25">
      <c r="I152" s="31"/>
    </row>
    <row r="153" spans="9:9" x14ac:dyDescent="0.25">
      <c r="I153" s="31"/>
    </row>
    <row r="154" spans="9:9" x14ac:dyDescent="0.25">
      <c r="I154" s="31"/>
    </row>
    <row r="155" spans="9:9" x14ac:dyDescent="0.25">
      <c r="I155" s="31"/>
    </row>
    <row r="156" spans="9:9" x14ac:dyDescent="0.25">
      <c r="I156" s="31"/>
    </row>
    <row r="157" spans="9:9" x14ac:dyDescent="0.25">
      <c r="I157" s="31"/>
    </row>
    <row r="158" spans="9:9" x14ac:dyDescent="0.25">
      <c r="I158" s="31"/>
    </row>
    <row r="159" spans="9:9" x14ac:dyDescent="0.25">
      <c r="I159" s="31"/>
    </row>
    <row r="160" spans="9:9" x14ac:dyDescent="0.25">
      <c r="I160" s="31"/>
    </row>
    <row r="161" spans="9:9" x14ac:dyDescent="0.25">
      <c r="I161" s="31"/>
    </row>
    <row r="162" spans="9:9" x14ac:dyDescent="0.25">
      <c r="I162" s="31"/>
    </row>
    <row r="163" spans="9:9" x14ac:dyDescent="0.25">
      <c r="I163" s="31"/>
    </row>
    <row r="164" spans="9:9" x14ac:dyDescent="0.25">
      <c r="I164" s="31"/>
    </row>
    <row r="165" spans="9:9" x14ac:dyDescent="0.25">
      <c r="I165" s="31"/>
    </row>
    <row r="166" spans="9:9" x14ac:dyDescent="0.25">
      <c r="I166" s="31"/>
    </row>
    <row r="167" spans="9:9" x14ac:dyDescent="0.25">
      <c r="I167" s="31"/>
    </row>
    <row r="168" spans="9:9" x14ac:dyDescent="0.25">
      <c r="I168" s="31"/>
    </row>
    <row r="169" spans="9:9" x14ac:dyDescent="0.25">
      <c r="I169" s="31"/>
    </row>
    <row r="170" spans="9:9" x14ac:dyDescent="0.25">
      <c r="I170" s="31"/>
    </row>
    <row r="171" spans="9:9" x14ac:dyDescent="0.25">
      <c r="I171" s="31"/>
    </row>
    <row r="172" spans="9:9" x14ac:dyDescent="0.25">
      <c r="I172" s="31"/>
    </row>
    <row r="173" spans="9:9" x14ac:dyDescent="0.25">
      <c r="I173" s="31"/>
    </row>
    <row r="174" spans="9:9" x14ac:dyDescent="0.25">
      <c r="I174" s="31"/>
    </row>
    <row r="175" spans="9:9" x14ac:dyDescent="0.25">
      <c r="I175" s="31"/>
    </row>
    <row r="176" spans="9:9" x14ac:dyDescent="0.25">
      <c r="I176" s="31"/>
    </row>
    <row r="177" spans="9:9" x14ac:dyDescent="0.25">
      <c r="I177" s="31"/>
    </row>
    <row r="178" spans="9:9" x14ac:dyDescent="0.25">
      <c r="I178" s="31"/>
    </row>
    <row r="179" spans="9:9" x14ac:dyDescent="0.25">
      <c r="I179" s="31"/>
    </row>
    <row r="180" spans="9:9" x14ac:dyDescent="0.25">
      <c r="I180" s="31"/>
    </row>
    <row r="181" spans="9:9" x14ac:dyDescent="0.25">
      <c r="I181" s="31"/>
    </row>
    <row r="182" spans="9:9" x14ac:dyDescent="0.25">
      <c r="I182" s="31"/>
    </row>
    <row r="183" spans="9:9" x14ac:dyDescent="0.25">
      <c r="I183" s="31"/>
    </row>
    <row r="184" spans="9:9" x14ac:dyDescent="0.25">
      <c r="I184" s="31"/>
    </row>
    <row r="185" spans="9:9" x14ac:dyDescent="0.25">
      <c r="I185" s="31"/>
    </row>
    <row r="186" spans="9:9" x14ac:dyDescent="0.25">
      <c r="I186" s="31"/>
    </row>
    <row r="187" spans="9:9" x14ac:dyDescent="0.25">
      <c r="I187" s="31"/>
    </row>
    <row r="188" spans="9:9" x14ac:dyDescent="0.25">
      <c r="I188" s="31"/>
    </row>
    <row r="189" spans="9:9" x14ac:dyDescent="0.25">
      <c r="I189" s="31"/>
    </row>
    <row r="190" spans="9:9" x14ac:dyDescent="0.25">
      <c r="I190" s="31"/>
    </row>
    <row r="191" spans="9:9" x14ac:dyDescent="0.25">
      <c r="I191" s="31"/>
    </row>
    <row r="192" spans="9:9" x14ac:dyDescent="0.25">
      <c r="I192" s="31"/>
    </row>
    <row r="193" spans="9:9" x14ac:dyDescent="0.25">
      <c r="I193" s="31"/>
    </row>
    <row r="194" spans="9:9" x14ac:dyDescent="0.25">
      <c r="I194" s="31"/>
    </row>
    <row r="195" spans="9:9" x14ac:dyDescent="0.25">
      <c r="I195" s="31"/>
    </row>
    <row r="196" spans="9:9" x14ac:dyDescent="0.25">
      <c r="I196" s="31"/>
    </row>
    <row r="197" spans="9:9" x14ac:dyDescent="0.25">
      <c r="I197" s="31"/>
    </row>
    <row r="198" spans="9:9" x14ac:dyDescent="0.25">
      <c r="I198" s="31"/>
    </row>
    <row r="199" spans="9:9" x14ac:dyDescent="0.25">
      <c r="I199" s="31"/>
    </row>
    <row r="200" spans="9:9" x14ac:dyDescent="0.25">
      <c r="I200" s="31"/>
    </row>
    <row r="201" spans="9:9" x14ac:dyDescent="0.25">
      <c r="I201" s="31"/>
    </row>
    <row r="202" spans="9:9" x14ac:dyDescent="0.25">
      <c r="I202" s="31"/>
    </row>
    <row r="203" spans="9:9" x14ac:dyDescent="0.25">
      <c r="I203" s="31"/>
    </row>
    <row r="204" spans="9:9" x14ac:dyDescent="0.25">
      <c r="I204" s="31"/>
    </row>
    <row r="205" spans="9:9" x14ac:dyDescent="0.25">
      <c r="I205" s="31"/>
    </row>
    <row r="206" spans="9:9" x14ac:dyDescent="0.25">
      <c r="I206" s="31"/>
    </row>
    <row r="207" spans="9:9" x14ac:dyDescent="0.25">
      <c r="I207" s="31"/>
    </row>
    <row r="208" spans="9:9" x14ac:dyDescent="0.25">
      <c r="I208" s="31"/>
    </row>
    <row r="209" spans="9:9" x14ac:dyDescent="0.25">
      <c r="I209" s="31"/>
    </row>
    <row r="210" spans="9:9" x14ac:dyDescent="0.25">
      <c r="I210" s="31"/>
    </row>
    <row r="211" spans="9:9" x14ac:dyDescent="0.25">
      <c r="I211" s="31"/>
    </row>
    <row r="212" spans="9:9" x14ac:dyDescent="0.25">
      <c r="I212" s="31"/>
    </row>
    <row r="213" spans="9:9" x14ac:dyDescent="0.25">
      <c r="I213" s="31"/>
    </row>
    <row r="214" spans="9:9" x14ac:dyDescent="0.25">
      <c r="I214" s="31"/>
    </row>
    <row r="215" spans="9:9" x14ac:dyDescent="0.25">
      <c r="I215" s="31"/>
    </row>
    <row r="216" spans="9:9" x14ac:dyDescent="0.25">
      <c r="I216" s="31"/>
    </row>
    <row r="217" spans="9:9" x14ac:dyDescent="0.25">
      <c r="I217" s="31"/>
    </row>
    <row r="218" spans="9:9" x14ac:dyDescent="0.25">
      <c r="I218" s="31"/>
    </row>
    <row r="219" spans="9:9" x14ac:dyDescent="0.25">
      <c r="I219" s="31"/>
    </row>
    <row r="220" spans="9:9" x14ac:dyDescent="0.25">
      <c r="I220" s="31"/>
    </row>
    <row r="221" spans="9:9" x14ac:dyDescent="0.25">
      <c r="I221" s="31"/>
    </row>
    <row r="222" spans="9:9" x14ac:dyDescent="0.25">
      <c r="I222" s="31"/>
    </row>
    <row r="223" spans="9:9" x14ac:dyDescent="0.25">
      <c r="I223" s="31"/>
    </row>
    <row r="224" spans="9:9" x14ac:dyDescent="0.25">
      <c r="I224" s="31"/>
    </row>
    <row r="225" spans="9:9" x14ac:dyDescent="0.25">
      <c r="I225" s="31"/>
    </row>
    <row r="226" spans="9:9" x14ac:dyDescent="0.25">
      <c r="I226" s="31"/>
    </row>
    <row r="227" spans="9:9" x14ac:dyDescent="0.25">
      <c r="I227" s="31"/>
    </row>
    <row r="228" spans="9:9" x14ac:dyDescent="0.25">
      <c r="I228" s="31"/>
    </row>
    <row r="229" spans="9:9" x14ac:dyDescent="0.25">
      <c r="I229" s="31"/>
    </row>
    <row r="230" spans="9:9" x14ac:dyDescent="0.25">
      <c r="I230" s="31"/>
    </row>
    <row r="231" spans="9:9" x14ac:dyDescent="0.25">
      <c r="I231" s="31"/>
    </row>
    <row r="232" spans="9:9" x14ac:dyDescent="0.25">
      <c r="I232" s="31"/>
    </row>
    <row r="233" spans="9:9" x14ac:dyDescent="0.25">
      <c r="I233" s="31"/>
    </row>
    <row r="234" spans="9:9" x14ac:dyDescent="0.25">
      <c r="I234" s="31"/>
    </row>
    <row r="235" spans="9:9" x14ac:dyDescent="0.25">
      <c r="I235" s="31"/>
    </row>
    <row r="236" spans="9:9" x14ac:dyDescent="0.25">
      <c r="I236" s="31"/>
    </row>
    <row r="237" spans="9:9" x14ac:dyDescent="0.25">
      <c r="I237" s="31"/>
    </row>
    <row r="238" spans="9:9" x14ac:dyDescent="0.25">
      <c r="I238" s="31"/>
    </row>
    <row r="239" spans="9:9" x14ac:dyDescent="0.25">
      <c r="I239" s="31"/>
    </row>
    <row r="240" spans="9:9" x14ac:dyDescent="0.25">
      <c r="I240" s="31"/>
    </row>
    <row r="241" spans="9:9" x14ac:dyDescent="0.25">
      <c r="I241" s="31"/>
    </row>
    <row r="242" spans="9:9" x14ac:dyDescent="0.25">
      <c r="I242" s="31"/>
    </row>
    <row r="243" spans="9:9" x14ac:dyDescent="0.25">
      <c r="I243" s="31"/>
    </row>
    <row r="244" spans="9:9" x14ac:dyDescent="0.25">
      <c r="I244" s="31"/>
    </row>
    <row r="245" spans="9:9" x14ac:dyDescent="0.25">
      <c r="I245" s="31"/>
    </row>
    <row r="246" spans="9:9" x14ac:dyDescent="0.25">
      <c r="I246" s="31"/>
    </row>
    <row r="247" spans="9:9" x14ac:dyDescent="0.25">
      <c r="I247" s="31"/>
    </row>
    <row r="248" spans="9:9" x14ac:dyDescent="0.25">
      <c r="I248" s="31"/>
    </row>
    <row r="249" spans="9:9" x14ac:dyDescent="0.25">
      <c r="I249" s="31"/>
    </row>
    <row r="250" spans="9:9" x14ac:dyDescent="0.25">
      <c r="I250" s="31"/>
    </row>
    <row r="251" spans="9:9" x14ac:dyDescent="0.25">
      <c r="I251" s="31"/>
    </row>
    <row r="252" spans="9:9" x14ac:dyDescent="0.25">
      <c r="I252" s="31"/>
    </row>
    <row r="253" spans="9:9" x14ac:dyDescent="0.25">
      <c r="I253" s="31"/>
    </row>
  </sheetData>
  <sheetProtection password="C880" sheet="1" objects="1" scenarios="1" selectLockedCells="1"/>
  <mergeCells count="11">
    <mergeCell ref="G2:G3"/>
    <mergeCell ref="F4:F47"/>
    <mergeCell ref="G4:G76"/>
    <mergeCell ref="C48:C64"/>
    <mergeCell ref="F48:F64"/>
    <mergeCell ref="C65:C76"/>
    <mergeCell ref="F65:F76"/>
    <mergeCell ref="C4:C47"/>
    <mergeCell ref="D2:D3"/>
    <mergeCell ref="E2:E3"/>
    <mergeCell ref="F2:F3"/>
  </mergeCells>
  <conditionalFormatting sqref="E4:E76">
    <cfRule type="cellIs" dxfId="5" priority="1" stopIfTrue="1" operator="equal">
      <formula>1</formula>
    </cfRule>
    <cfRule type="cellIs" dxfId="4" priority="2" stopIfTrue="1" operator="equal">
      <formula>9</formula>
    </cfRule>
    <cfRule type="cellIs" dxfId="3" priority="3" stopIfTrue="1" operator="between">
      <formula>2</formula>
      <formula>5</formula>
    </cfRule>
  </conditionalFormatting>
  <conditionalFormatting sqref="F4:G76">
    <cfRule type="cellIs" dxfId="2" priority="4" stopIfTrue="1" operator="between">
      <formula>0</formula>
      <formula>0.5</formula>
    </cfRule>
    <cfRule type="cellIs" dxfId="1" priority="5" stopIfTrue="1" operator="between">
      <formula>0.5</formula>
      <formula>0.75</formula>
    </cfRule>
    <cfRule type="cellIs" dxfId="0" priority="6" stopIfTrue="1" operator="greaterThan">
      <formula>0.75</formula>
    </cfRule>
  </conditionalFormatting>
  <dataValidations count="3">
    <dataValidation type="list" allowBlank="1" showInputMessage="1" showErrorMessage="1" sqref="I65551 WLU983055 WBY983055 VSC983055 VIG983055 UYK983055 UOO983055 UES983055 TUW983055 TLA983055 TBE983055 SRI983055 SHM983055 RXQ983055 RNU983055 RDY983055 QUC983055 QKG983055 QAK983055 PQO983055 PGS983055 OWW983055 ONA983055 ODE983055 NTI983055 NJM983055 MZQ983055 MPU983055 MFY983055 LWC983055 LMG983055 LCK983055 KSO983055 KIS983055 JYW983055 JPA983055 JFE983055 IVI983055 ILM983055 IBQ983055 HRU983055 HHY983055 GYC983055 GOG983055 GEK983055 FUO983055 FKS983055 FAW983055 ERA983055 EHE983055 DXI983055 DNM983055 DDQ983055 CTU983055 CJY983055 CAC983055 BQG983055 BGK983055 AWO983055 AMS983055 ACW983055 TA983055 JE983055 I983055 WVQ917519 WLU917519 WBY917519 VSC917519 VIG917519 UYK917519 UOO917519 UES917519 TUW917519 TLA917519 TBE917519 SRI917519 SHM917519 RXQ917519 RNU917519 RDY917519 QUC917519 QKG917519 QAK917519 PQO917519 PGS917519 OWW917519 ONA917519 ODE917519 NTI917519 NJM917519 MZQ917519 MPU917519 MFY917519 LWC917519 LMG917519 LCK917519 KSO917519 KIS917519 JYW917519 JPA917519 JFE917519 IVI917519 ILM917519 IBQ917519 HRU917519 HHY917519 GYC917519 GOG917519 GEK917519 FUO917519 FKS917519 FAW917519 ERA917519 EHE917519 DXI917519 DNM917519 DDQ917519 CTU917519 CJY917519 CAC917519 BQG917519 BGK917519 AWO917519 AMS917519 ACW917519 TA917519 JE917519 I917519 WVQ851983 WLU851983 WBY851983 VSC851983 VIG851983 UYK851983 UOO851983 UES851983 TUW851983 TLA851983 TBE851983 SRI851983 SHM851983 RXQ851983 RNU851983 RDY851983 QUC851983 QKG851983 QAK851983 PQO851983 PGS851983 OWW851983 ONA851983 ODE851983 NTI851983 NJM851983 MZQ851983 MPU851983 MFY851983 LWC851983 LMG851983 LCK851983 KSO851983 KIS851983 JYW851983 JPA851983 JFE851983 IVI851983 ILM851983 IBQ851983 HRU851983 HHY851983 GYC851983 GOG851983 GEK851983 FUO851983 FKS851983 FAW851983 ERA851983 EHE851983 DXI851983 DNM851983 DDQ851983 CTU851983 CJY851983 CAC851983 BQG851983 BGK851983 AWO851983 AMS851983 ACW851983 TA851983 JE851983 I851983 WVQ786447 WLU786447 WBY786447 VSC786447 VIG786447 UYK786447 UOO786447 UES786447 TUW786447 TLA786447 TBE786447 SRI786447 SHM786447 RXQ786447 RNU786447 RDY786447 QUC786447 QKG786447 QAK786447 PQO786447 PGS786447 OWW786447 ONA786447 ODE786447 NTI786447 NJM786447 MZQ786447 MPU786447 MFY786447 LWC786447 LMG786447 LCK786447 KSO786447 KIS786447 JYW786447 JPA786447 JFE786447 IVI786447 ILM786447 IBQ786447 HRU786447 HHY786447 GYC786447 GOG786447 GEK786447 FUO786447 FKS786447 FAW786447 ERA786447 EHE786447 DXI786447 DNM786447 DDQ786447 CTU786447 CJY786447 CAC786447 BQG786447 BGK786447 AWO786447 AMS786447 ACW786447 TA786447 JE786447 I786447 WVQ720911 WLU720911 WBY720911 VSC720911 VIG720911 UYK720911 UOO720911 UES720911 TUW720911 TLA720911 TBE720911 SRI720911 SHM720911 RXQ720911 RNU720911 RDY720911 QUC720911 QKG720911 QAK720911 PQO720911 PGS720911 OWW720911 ONA720911 ODE720911 NTI720911 NJM720911 MZQ720911 MPU720911 MFY720911 LWC720911 LMG720911 LCK720911 KSO720911 KIS720911 JYW720911 JPA720911 JFE720911 IVI720911 ILM720911 IBQ720911 HRU720911 HHY720911 GYC720911 GOG720911 GEK720911 FUO720911 FKS720911 FAW720911 ERA720911 EHE720911 DXI720911 DNM720911 DDQ720911 CTU720911 CJY720911 CAC720911 BQG720911 BGK720911 AWO720911 AMS720911 ACW720911 TA720911 JE720911 I720911 WVQ655375 WLU655375 WBY655375 VSC655375 VIG655375 UYK655375 UOO655375 UES655375 TUW655375 TLA655375 TBE655375 SRI655375 SHM655375 RXQ655375 RNU655375 RDY655375 QUC655375 QKG655375 QAK655375 PQO655375 PGS655375 OWW655375 ONA655375 ODE655375 NTI655375 NJM655375 MZQ655375 MPU655375 MFY655375 LWC655375 LMG655375 LCK655375 KSO655375 KIS655375 JYW655375 JPA655375 JFE655375 IVI655375 ILM655375 IBQ655375 HRU655375 HHY655375 GYC655375 GOG655375 GEK655375 FUO655375 FKS655375 FAW655375 ERA655375 EHE655375 DXI655375 DNM655375 DDQ655375 CTU655375 CJY655375 CAC655375 BQG655375 BGK655375 AWO655375 AMS655375 ACW655375 TA655375 JE655375 I655375 WVQ589839 WLU589839 WBY589839 VSC589839 VIG589839 UYK589839 UOO589839 UES589839 TUW589839 TLA589839 TBE589839 SRI589839 SHM589839 RXQ589839 RNU589839 RDY589839 QUC589839 QKG589839 QAK589839 PQO589839 PGS589839 OWW589839 ONA589839 ODE589839 NTI589839 NJM589839 MZQ589839 MPU589839 MFY589839 LWC589839 LMG589839 LCK589839 KSO589839 KIS589839 JYW589839 JPA589839 JFE589839 IVI589839 ILM589839 IBQ589839 HRU589839 HHY589839 GYC589839 GOG589839 GEK589839 FUO589839 FKS589839 FAW589839 ERA589839 EHE589839 DXI589839 DNM589839 DDQ589839 CTU589839 CJY589839 CAC589839 BQG589839 BGK589839 AWO589839 AMS589839 ACW589839 TA589839 JE589839 I589839 WVQ524303 WLU524303 WBY524303 VSC524303 VIG524303 UYK524303 UOO524303 UES524303 TUW524303 TLA524303 TBE524303 SRI524303 SHM524303 RXQ524303 RNU524303 RDY524303 QUC524303 QKG524303 QAK524303 PQO524303 PGS524303 OWW524303 ONA524303 ODE524303 NTI524303 NJM524303 MZQ524303 MPU524303 MFY524303 LWC524303 LMG524303 LCK524303 KSO524303 KIS524303 JYW524303 JPA524303 JFE524303 IVI524303 ILM524303 IBQ524303 HRU524303 HHY524303 GYC524303 GOG524303 GEK524303 FUO524303 FKS524303 FAW524303 ERA524303 EHE524303 DXI524303 DNM524303 DDQ524303 CTU524303 CJY524303 CAC524303 BQG524303 BGK524303 AWO524303 AMS524303 ACW524303 TA524303 JE524303 I524303 WVQ458767 WLU458767 WBY458767 VSC458767 VIG458767 UYK458767 UOO458767 UES458767 TUW458767 TLA458767 TBE458767 SRI458767 SHM458767 RXQ458767 RNU458767 RDY458767 QUC458767 QKG458767 QAK458767 PQO458767 PGS458767 OWW458767 ONA458767 ODE458767 NTI458767 NJM458767 MZQ458767 MPU458767 MFY458767 LWC458767 LMG458767 LCK458767 KSO458767 KIS458767 JYW458767 JPA458767 JFE458767 IVI458767 ILM458767 IBQ458767 HRU458767 HHY458767 GYC458767 GOG458767 GEK458767 FUO458767 FKS458767 FAW458767 ERA458767 EHE458767 DXI458767 DNM458767 DDQ458767 CTU458767 CJY458767 CAC458767 BQG458767 BGK458767 AWO458767 AMS458767 ACW458767 TA458767 JE458767 I458767 WVQ393231 WLU393231 WBY393231 VSC393231 VIG393231 UYK393231 UOO393231 UES393231 TUW393231 TLA393231 TBE393231 SRI393231 SHM393231 RXQ393231 RNU393231 RDY393231 QUC393231 QKG393231 QAK393231 PQO393231 PGS393231 OWW393231 ONA393231 ODE393231 NTI393231 NJM393231 MZQ393231 MPU393231 MFY393231 LWC393231 LMG393231 LCK393231 KSO393231 KIS393231 JYW393231 JPA393231 JFE393231 IVI393231 ILM393231 IBQ393231 HRU393231 HHY393231 GYC393231 GOG393231 GEK393231 FUO393231 FKS393231 FAW393231 ERA393231 EHE393231 DXI393231 DNM393231 DDQ393231 CTU393231 CJY393231 CAC393231 BQG393231 BGK393231 AWO393231 AMS393231 ACW393231 TA393231 JE393231 I393231 WVQ327695 WLU327695 WBY327695 VSC327695 VIG327695 UYK327695 UOO327695 UES327695 TUW327695 TLA327695 TBE327695 SRI327695 SHM327695 RXQ327695 RNU327695 RDY327695 QUC327695 QKG327695 QAK327695 PQO327695 PGS327695 OWW327695 ONA327695 ODE327695 NTI327695 NJM327695 MZQ327695 MPU327695 MFY327695 LWC327695 LMG327695 LCK327695 KSO327695 KIS327695 JYW327695 JPA327695 JFE327695 IVI327695 ILM327695 IBQ327695 HRU327695 HHY327695 GYC327695 GOG327695 GEK327695 FUO327695 FKS327695 FAW327695 ERA327695 EHE327695 DXI327695 DNM327695 DDQ327695 CTU327695 CJY327695 CAC327695 BQG327695 BGK327695 AWO327695 AMS327695 ACW327695 TA327695 JE327695 I327695 WVQ262159 WLU262159 WBY262159 VSC262159 VIG262159 UYK262159 UOO262159 UES262159 TUW262159 TLA262159 TBE262159 SRI262159 SHM262159 RXQ262159 RNU262159 RDY262159 QUC262159 QKG262159 QAK262159 PQO262159 PGS262159 OWW262159 ONA262159 ODE262159 NTI262159 NJM262159 MZQ262159 MPU262159 MFY262159 LWC262159 LMG262159 LCK262159 KSO262159 KIS262159 JYW262159 JPA262159 JFE262159 IVI262159 ILM262159 IBQ262159 HRU262159 HHY262159 GYC262159 GOG262159 GEK262159 FUO262159 FKS262159 FAW262159 ERA262159 EHE262159 DXI262159 DNM262159 DDQ262159 CTU262159 CJY262159 CAC262159 BQG262159 BGK262159 AWO262159 AMS262159 ACW262159 TA262159 JE262159 I262159 WVQ196623 WLU196623 WBY196623 VSC196623 VIG196623 UYK196623 UOO196623 UES196623 TUW196623 TLA196623 TBE196623 SRI196623 SHM196623 RXQ196623 RNU196623 RDY196623 QUC196623 QKG196623 QAK196623 PQO196623 PGS196623 OWW196623 ONA196623 ODE196623 NTI196623 NJM196623 MZQ196623 MPU196623 MFY196623 LWC196623 LMG196623 LCK196623 KSO196623 KIS196623 JYW196623 JPA196623 JFE196623 IVI196623 ILM196623 IBQ196623 HRU196623 HHY196623 GYC196623 GOG196623 GEK196623 FUO196623 FKS196623 FAW196623 ERA196623 EHE196623 DXI196623 DNM196623 DDQ196623 CTU196623 CJY196623 CAC196623 BQG196623 BGK196623 AWO196623 AMS196623 ACW196623 TA196623 JE196623 I196623 WVQ131087 WLU131087 WBY131087 VSC131087 VIG131087 UYK131087 UOO131087 UES131087 TUW131087 TLA131087 TBE131087 SRI131087 SHM131087 RXQ131087 RNU131087 RDY131087 QUC131087 QKG131087 QAK131087 PQO131087 PGS131087 OWW131087 ONA131087 ODE131087 NTI131087 NJM131087 MZQ131087 MPU131087 MFY131087 LWC131087 LMG131087 LCK131087 KSO131087 KIS131087 JYW131087 JPA131087 JFE131087 IVI131087 ILM131087 IBQ131087 HRU131087 HHY131087 GYC131087 GOG131087 GEK131087 FUO131087 FKS131087 FAW131087 ERA131087 EHE131087 DXI131087 DNM131087 DDQ131087 CTU131087 CJY131087 CAC131087 BQG131087 BGK131087 AWO131087 AMS131087 ACW131087 TA131087 JE131087 I131087 WVQ65551 WLU65551 WBY65551 VSC65551 VIG65551 UYK65551 UOO65551 UES65551 TUW65551 TLA65551 TBE65551 SRI65551 SHM65551 RXQ65551 RNU65551 RDY65551 QUC65551 QKG65551 QAK65551 PQO65551 PGS65551 OWW65551 ONA65551 ODE65551 NTI65551 NJM65551 MZQ65551 MPU65551 MFY65551 LWC65551 LMG65551 LCK65551 KSO65551 KIS65551 JYW65551 JPA65551 JFE65551 IVI65551 ILM65551 IBQ65551 HRU65551 HHY65551 GYC65551 GOG65551 GEK65551 FUO65551 FKS65551 FAW65551 ERA65551 EHE65551 DXI65551 DNM65551 DDQ65551 CTU65551 CJY65551 CAC65551 BQG65551 BGK65551 AWO65551 AMS65551 ACW65551 TA65551 JE65551 WVQ2 WLU2 WBY2 VSC2 VIG2 UYK2 UOO2 UES2 TUW2 TLA2 TBE2 SRI2 SHM2 RXQ2 RNU2 RDY2 QUC2 QKG2 QAK2 PQO2 PGS2 OWW2 ONA2 ODE2 NTI2 NJM2 MZQ2 MPU2 MFY2 LWC2 LMG2 LCK2 KSO2 KIS2 JYW2 JPA2 JFE2 IVI2 ILM2 IBQ2 HRU2 HHY2 GYC2 GOG2 GEK2 FUO2 FKS2 FAW2 ERA2 EHE2 DXI2 DNM2 DDQ2 CTU2 CJY2 CAC2 BQG2 BGK2 AWO2 AMS2 ACW2 TA2 JE2 WVQ983055" xr:uid="{00000000-0002-0000-0300-000000000000}">
      <formula1>$I$3:$I$200</formula1>
    </dataValidation>
    <dataValidation type="list" allowBlank="1" showInputMessage="1" showErrorMessage="1" sqref="I2" xr:uid="{00000000-0002-0000-0300-000001000000}">
      <formula1>$I$3:$I$252</formula1>
    </dataValidation>
    <dataValidation type="list" allowBlank="1" showInputMessage="1" showErrorMessage="1" sqref="I3" xr:uid="{00000000-0002-0000-0300-000002000000}">
      <formula1>$I$3:$I$12</formula1>
    </dataValidation>
  </dataValidations>
  <pageMargins left="0.19685039370078741" right="0.19685039370078741" top="0.19685039370078741" bottom="0.19685039370078741" header="0.11811023622047245" footer="0.11811023622047245"/>
  <pageSetup paperSize="9" scale="4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6</vt:i4>
      </vt:variant>
    </vt:vector>
  </HeadingPairs>
  <TitlesOfParts>
    <vt:vector size="10" baseType="lpstr">
      <vt:lpstr>Liste élèves</vt:lpstr>
      <vt:lpstr>Saisie résultats</vt:lpstr>
      <vt:lpstr>FRA Synthèse élève</vt:lpstr>
      <vt:lpstr>MATH Synthèse élève</vt:lpstr>
      <vt:lpstr>echantillon</vt:lpstr>
      <vt:lpstr>Liste</vt:lpstr>
      <vt:lpstr>'FRA Synthèse élève'!Zone_d_impression</vt:lpstr>
      <vt:lpstr>'Liste élèves'!Zone_d_impression</vt:lpstr>
      <vt:lpstr>'MATH Synthèse élève'!Zone_d_impression</vt:lpstr>
      <vt:lpstr>'Saisie résultats'!Zone_d_impression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herve</dc:creator>
  <cp:lastModifiedBy>Havard Crystele</cp:lastModifiedBy>
  <cp:lastPrinted>2019-11-16T14:11:05Z</cp:lastPrinted>
  <dcterms:created xsi:type="dcterms:W3CDTF">2019-11-07T10:46:01Z</dcterms:created>
  <dcterms:modified xsi:type="dcterms:W3CDTF">2025-10-07T07:32:51Z</dcterms:modified>
</cp:coreProperties>
</file>